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775" firstSheet="3" activeTab="3"/>
  </bookViews>
  <sheets>
    <sheet name="Trimestre 1-Formato 2" sheetId="6" state="hidden" r:id="rId1"/>
    <sheet name="Trimestre 2-Formato 2" sheetId="5" state="hidden" r:id="rId2"/>
    <sheet name="Trimestre 3-Formato 2" sheetId="8" state="hidden" r:id="rId3"/>
    <sheet name="2017 Trimestre 1-Formato 2" sheetId="9" r:id="rId4"/>
    <sheet name="Formato 2  ANUAL" sheetId="1" state="hidden" r:id="rId5"/>
    <sheet name="Formato Cuentas" sheetId="11" state="hidden" r:id="rId6"/>
    <sheet name="CORTO PLAZO" sheetId="3" state="hidden" r:id="rId7"/>
    <sheet name="Formato 3" sheetId="2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45621"/>
</workbook>
</file>

<file path=xl/calcChain.xml><?xml version="1.0" encoding="utf-8"?>
<calcChain xmlns="http://schemas.openxmlformats.org/spreadsheetml/2006/main">
  <c r="K44" i="1" l="1"/>
  <c r="H41" i="1"/>
  <c r="H40" i="1"/>
  <c r="F42" i="1"/>
  <c r="L47" i="1" l="1"/>
  <c r="K50" i="1" l="1"/>
  <c r="K49" i="1"/>
  <c r="K48" i="1"/>
  <c r="K47" i="1"/>
  <c r="F50" i="1"/>
  <c r="F49" i="1"/>
  <c r="F48" i="1"/>
  <c r="F47" i="1" l="1"/>
  <c r="F44" i="1"/>
  <c r="H44" i="1"/>
  <c r="K43" i="1" l="1"/>
  <c r="J43" i="1"/>
  <c r="H43" i="1"/>
  <c r="F43" i="1"/>
  <c r="K41" i="1" l="1"/>
  <c r="K40" i="1"/>
  <c r="K28" i="1"/>
  <c r="K27" i="1"/>
  <c r="K25" i="1"/>
  <c r="K23" i="1"/>
  <c r="K24" i="1"/>
  <c r="K22" i="1"/>
  <c r="K21" i="1"/>
  <c r="K20" i="1"/>
  <c r="H28" i="1"/>
  <c r="H27" i="1"/>
  <c r="K18" i="1"/>
  <c r="H25" i="1"/>
  <c r="H24" i="1"/>
  <c r="H23" i="1"/>
  <c r="H22" i="1"/>
  <c r="H21" i="1"/>
  <c r="H20" i="1"/>
  <c r="H19" i="1"/>
  <c r="H18" i="1"/>
  <c r="F28" i="1"/>
  <c r="K19" i="1" l="1"/>
  <c r="K18" i="9"/>
  <c r="H17" i="1"/>
  <c r="J40" i="1"/>
  <c r="F40" i="1"/>
  <c r="J41" i="1"/>
  <c r="F41" i="1"/>
  <c r="H18" i="9"/>
  <c r="H17" i="9" s="1"/>
  <c r="F27" i="1" l="1"/>
  <c r="F25" i="1"/>
  <c r="F24" i="1"/>
  <c r="F23" i="1"/>
  <c r="F22" i="1"/>
  <c r="F21" i="1"/>
  <c r="F20" i="1"/>
  <c r="F19" i="1"/>
  <c r="F10" i="9" l="1"/>
  <c r="F11" i="1"/>
  <c r="F18" i="1"/>
  <c r="H11" i="1" l="1"/>
  <c r="F9" i="9"/>
  <c r="K10" i="9" l="1"/>
  <c r="K11" i="1"/>
  <c r="W10" i="1"/>
  <c r="V10" i="1"/>
  <c r="T10" i="1"/>
  <c r="S10" i="1"/>
  <c r="R10" i="1"/>
  <c r="Q10" i="1"/>
  <c r="U10" i="1" l="1"/>
  <c r="E40" i="1" l="1"/>
  <c r="E47" i="1"/>
  <c r="E50" i="1"/>
  <c r="E49" i="1"/>
  <c r="E48" i="1"/>
  <c r="E44" i="1"/>
  <c r="E43" i="1"/>
  <c r="E42" i="1"/>
  <c r="E28" i="1"/>
  <c r="E27" i="1"/>
  <c r="E25" i="1"/>
  <c r="E24" i="1"/>
  <c r="E23" i="1"/>
  <c r="E22" i="1"/>
  <c r="E21" i="1"/>
  <c r="E20" i="1"/>
  <c r="E19" i="1"/>
  <c r="E18" i="1"/>
  <c r="K42" i="1"/>
  <c r="L57" i="8" l="1"/>
  <c r="L57" i="5"/>
  <c r="L57" i="6"/>
  <c r="I7" i="3"/>
  <c r="D7" i="3"/>
  <c r="I6" i="3"/>
  <c r="I5" i="3"/>
  <c r="I4" i="3"/>
  <c r="K13" i="8"/>
  <c r="H13" i="8"/>
  <c r="K13" i="5"/>
  <c r="H13" i="5"/>
  <c r="K12" i="8"/>
  <c r="H12" i="8"/>
  <c r="K12" i="5"/>
  <c r="H12" i="5"/>
  <c r="K19" i="5"/>
  <c r="H19" i="5"/>
  <c r="K19" i="6"/>
  <c r="J19" i="6"/>
  <c r="H19" i="6"/>
  <c r="K17" i="5"/>
  <c r="H17" i="5"/>
  <c r="K17" i="6"/>
  <c r="J17" i="6"/>
  <c r="H17" i="6"/>
  <c r="K15" i="8"/>
  <c r="H15" i="8"/>
  <c r="K15" i="5"/>
  <c r="H15" i="5"/>
  <c r="K15" i="6"/>
  <c r="J15" i="6"/>
  <c r="H15" i="6"/>
  <c r="K11" i="5"/>
  <c r="H11" i="5"/>
  <c r="K11" i="6"/>
  <c r="H11" i="6"/>
  <c r="F60" i="11"/>
  <c r="J50" i="1"/>
  <c r="K60" i="8"/>
  <c r="J60" i="8"/>
  <c r="K60" i="5"/>
  <c r="J60" i="5"/>
  <c r="K60" i="6"/>
  <c r="J60" i="6"/>
  <c r="F60" i="6"/>
  <c r="F59" i="11"/>
  <c r="J49" i="1"/>
  <c r="K59" i="8"/>
  <c r="J59" i="8"/>
  <c r="K59" i="5"/>
  <c r="J59" i="5"/>
  <c r="K59" i="6"/>
  <c r="J59" i="6"/>
  <c r="F59" i="6"/>
  <c r="F58" i="11"/>
  <c r="J48" i="1"/>
  <c r="K58" i="8"/>
  <c r="J58" i="8"/>
  <c r="K58" i="5"/>
  <c r="J58" i="5"/>
  <c r="K58" i="6"/>
  <c r="J58" i="6"/>
  <c r="F58" i="6"/>
  <c r="F57" i="11"/>
  <c r="K57" i="8"/>
  <c r="J57" i="8"/>
  <c r="K57" i="5"/>
  <c r="J57" i="5"/>
  <c r="K57" i="6"/>
  <c r="J57" i="6"/>
  <c r="F57" i="6"/>
  <c r="K52" i="11"/>
  <c r="H52" i="11"/>
  <c r="H42" i="1"/>
  <c r="K52" i="8"/>
  <c r="H52" i="8"/>
  <c r="K52" i="5"/>
  <c r="H52" i="5"/>
  <c r="K52" i="6"/>
  <c r="H52" i="6"/>
  <c r="K37" i="8"/>
  <c r="H37" i="8"/>
  <c r="K37" i="5"/>
  <c r="H37" i="5"/>
  <c r="K37" i="6"/>
  <c r="H37" i="6"/>
  <c r="F37" i="6"/>
  <c r="K38" i="8"/>
  <c r="H38" i="8"/>
  <c r="K38" i="5"/>
  <c r="H38" i="5"/>
  <c r="K38" i="6"/>
  <c r="H38" i="6"/>
  <c r="F38" i="6"/>
  <c r="K51" i="8"/>
  <c r="J51" i="8"/>
  <c r="K51" i="5"/>
  <c r="J51" i="5"/>
  <c r="K51" i="6"/>
  <c r="J51" i="6"/>
  <c r="F51" i="6"/>
  <c r="K50" i="8"/>
  <c r="J50" i="8"/>
  <c r="K50" i="5"/>
  <c r="J50" i="5"/>
  <c r="K50" i="6"/>
  <c r="J50" i="6"/>
  <c r="F50" i="6"/>
  <c r="K53" i="11"/>
  <c r="H53" i="11"/>
  <c r="K53" i="8"/>
  <c r="H53" i="8"/>
  <c r="K53" i="5"/>
  <c r="H53" i="5"/>
  <c r="F53" i="5"/>
  <c r="K53" i="6"/>
  <c r="H53" i="6"/>
  <c r="F53" i="6"/>
  <c r="J47" i="1" l="1"/>
  <c r="K35" i="8"/>
  <c r="H35" i="8"/>
  <c r="K35" i="5"/>
  <c r="H35" i="5"/>
  <c r="K35" i="6"/>
  <c r="H35" i="6"/>
  <c r="F35" i="6"/>
  <c r="K34" i="8"/>
  <c r="H34" i="8"/>
  <c r="K34" i="5"/>
  <c r="H34" i="5"/>
  <c r="K34" i="6"/>
  <c r="H34" i="6"/>
  <c r="F34" i="6"/>
  <c r="K33" i="8"/>
  <c r="H33" i="8"/>
  <c r="K33" i="5"/>
  <c r="H33" i="5"/>
  <c r="K33" i="6"/>
  <c r="H33" i="6"/>
  <c r="F33" i="6"/>
  <c r="K32" i="8"/>
  <c r="H32" i="8"/>
  <c r="K32" i="5"/>
  <c r="H32" i="5"/>
  <c r="K32" i="6"/>
  <c r="H32" i="6"/>
  <c r="F32" i="6"/>
  <c r="K31" i="8"/>
  <c r="H31" i="8"/>
  <c r="K31" i="5"/>
  <c r="H31" i="5"/>
  <c r="K31" i="6"/>
  <c r="H31" i="6"/>
  <c r="F31" i="6"/>
  <c r="K30" i="8"/>
  <c r="H30" i="8"/>
  <c r="K30" i="5"/>
  <c r="H30" i="5"/>
  <c r="K30" i="6"/>
  <c r="H30" i="6"/>
  <c r="F30" i="6"/>
  <c r="K29" i="8"/>
  <c r="H29" i="8"/>
  <c r="K29" i="5"/>
  <c r="H29" i="5"/>
  <c r="K29" i="6"/>
  <c r="H29" i="6"/>
  <c r="F29" i="6"/>
  <c r="K28" i="8"/>
  <c r="H28" i="8"/>
  <c r="K28" i="5"/>
  <c r="H28" i="5"/>
  <c r="K28" i="6"/>
  <c r="H28" i="6"/>
  <c r="F28" i="6"/>
  <c r="L11" i="9" l="1"/>
  <c r="J8" i="11" l="1"/>
  <c r="H27" i="11" l="1"/>
  <c r="H26" i="11" s="1"/>
  <c r="J52" i="11"/>
  <c r="F52" i="11"/>
  <c r="J46" i="11"/>
  <c r="L45" i="11"/>
  <c r="K45" i="11"/>
  <c r="I45" i="11"/>
  <c r="H45" i="11"/>
  <c r="G45" i="11"/>
  <c r="F45" i="11"/>
  <c r="J45" i="11" s="1"/>
  <c r="J44" i="11"/>
  <c r="J43" i="11"/>
  <c r="J42" i="11"/>
  <c r="J41" i="11"/>
  <c r="L40" i="11"/>
  <c r="K40" i="11"/>
  <c r="I40" i="11"/>
  <c r="H40" i="11"/>
  <c r="G40" i="11"/>
  <c r="F40" i="11"/>
  <c r="J40" i="11" s="1"/>
  <c r="F36" i="11"/>
  <c r="L27" i="11"/>
  <c r="L26" i="11" s="1"/>
  <c r="I27" i="11"/>
  <c r="I26" i="11" s="1"/>
  <c r="G27" i="11"/>
  <c r="G26" i="11"/>
  <c r="L24" i="11"/>
  <c r="K24" i="11"/>
  <c r="J24" i="11"/>
  <c r="I24" i="11"/>
  <c r="H24" i="11"/>
  <c r="G24" i="11"/>
  <c r="F24" i="11"/>
  <c r="L22" i="11"/>
  <c r="K22" i="11"/>
  <c r="J22" i="11"/>
  <c r="I22" i="11"/>
  <c r="H22" i="11"/>
  <c r="G22" i="11"/>
  <c r="F22" i="11"/>
  <c r="K21" i="11"/>
  <c r="H21" i="11"/>
  <c r="G21" i="11"/>
  <c r="F20" i="11"/>
  <c r="L19" i="11"/>
  <c r="G19" i="11"/>
  <c r="F18" i="11"/>
  <c r="G17" i="11"/>
  <c r="F16" i="11"/>
  <c r="G15" i="11"/>
  <c r="F14" i="11"/>
  <c r="F11" i="11"/>
  <c r="I9" i="11"/>
  <c r="I8" i="11" s="1"/>
  <c r="G10" i="11"/>
  <c r="F38" i="11"/>
  <c r="J21" i="11" l="1"/>
  <c r="K27" i="11"/>
  <c r="K26" i="11" s="1"/>
  <c r="K7" i="11" s="1"/>
  <c r="K48" i="11" s="1"/>
  <c r="H9" i="11"/>
  <c r="H8" i="11" s="1"/>
  <c r="H7" i="11" s="1"/>
  <c r="H48" i="11" s="1"/>
  <c r="I7" i="11"/>
  <c r="I48" i="11" s="1"/>
  <c r="L7" i="11"/>
  <c r="L48" i="11" s="1"/>
  <c r="F10" i="11"/>
  <c r="G14" i="11"/>
  <c r="G16" i="11"/>
  <c r="G18" i="11"/>
  <c r="F9" i="11" l="1"/>
  <c r="G9" i="11"/>
  <c r="G8" i="11" s="1"/>
  <c r="G7" i="11" s="1"/>
  <c r="G48" i="11" s="1"/>
  <c r="F8" i="11" l="1"/>
  <c r="K10" i="1"/>
  <c r="K9" i="1" s="1"/>
  <c r="M60" i="11"/>
  <c r="I60" i="11" s="1"/>
  <c r="M58" i="11"/>
  <c r="M57" i="11"/>
  <c r="K9" i="9"/>
  <c r="I10" i="9"/>
  <c r="I9" i="9" s="1"/>
  <c r="H10" i="9"/>
  <c r="H9" i="9" s="1"/>
  <c r="G10" i="9"/>
  <c r="H16" i="8"/>
  <c r="L18" i="8"/>
  <c r="I18" i="8"/>
  <c r="H18" i="8"/>
  <c r="G18" i="8"/>
  <c r="L16" i="8"/>
  <c r="I16" i="8"/>
  <c r="G16" i="8"/>
  <c r="J37" i="9"/>
  <c r="L36" i="9"/>
  <c r="K36" i="9"/>
  <c r="I36" i="9"/>
  <c r="H36" i="9"/>
  <c r="G36" i="9"/>
  <c r="F36" i="9"/>
  <c r="J35" i="9"/>
  <c r="J34" i="9"/>
  <c r="J33" i="9"/>
  <c r="J32" i="9"/>
  <c r="L31" i="9"/>
  <c r="K31" i="9"/>
  <c r="I31" i="9"/>
  <c r="H31" i="9"/>
  <c r="G31" i="9"/>
  <c r="F31" i="9"/>
  <c r="L18" i="9"/>
  <c r="L17" i="9" s="1"/>
  <c r="I18" i="9"/>
  <c r="G18" i="9"/>
  <c r="L15" i="9"/>
  <c r="K15" i="9"/>
  <c r="J15" i="9"/>
  <c r="I15" i="9"/>
  <c r="H15" i="9"/>
  <c r="G15" i="9"/>
  <c r="F15" i="9"/>
  <c r="L13" i="9"/>
  <c r="K13" i="9"/>
  <c r="J13" i="9"/>
  <c r="I13" i="9"/>
  <c r="H13" i="9"/>
  <c r="F13" i="9"/>
  <c r="F36" i="8"/>
  <c r="K14" i="8"/>
  <c r="J46" i="8"/>
  <c r="L45" i="8"/>
  <c r="K45" i="8"/>
  <c r="I45" i="8"/>
  <c r="H45" i="8"/>
  <c r="G45" i="8"/>
  <c r="F45" i="8"/>
  <c r="J45" i="8" s="1"/>
  <c r="J44" i="8"/>
  <c r="J43" i="8"/>
  <c r="J42" i="8"/>
  <c r="J41" i="8"/>
  <c r="L40" i="8"/>
  <c r="K40" i="8"/>
  <c r="I40" i="8"/>
  <c r="H40" i="8"/>
  <c r="G40" i="8"/>
  <c r="J40" i="8" s="1"/>
  <c r="F40" i="8"/>
  <c r="L27" i="8"/>
  <c r="L26" i="8" s="1"/>
  <c r="I27" i="8"/>
  <c r="I26" i="8" s="1"/>
  <c r="G27" i="8"/>
  <c r="G26" i="8" s="1"/>
  <c r="L24" i="8"/>
  <c r="K24" i="8"/>
  <c r="J24" i="8"/>
  <c r="I24" i="8"/>
  <c r="H24" i="8"/>
  <c r="G24" i="8"/>
  <c r="F24" i="8"/>
  <c r="L22" i="8"/>
  <c r="K22" i="8"/>
  <c r="J22" i="8"/>
  <c r="I22" i="8"/>
  <c r="H22" i="8"/>
  <c r="G22" i="8"/>
  <c r="F22" i="8"/>
  <c r="L14" i="8"/>
  <c r="I14" i="8"/>
  <c r="H14" i="8"/>
  <c r="G14" i="8"/>
  <c r="L10" i="8"/>
  <c r="I10" i="8"/>
  <c r="G10" i="8"/>
  <c r="L10" i="5"/>
  <c r="L10" i="6"/>
  <c r="G9" i="9" l="1"/>
  <c r="J9" i="9" s="1"/>
  <c r="J10" i="9"/>
  <c r="G17" i="9"/>
  <c r="I17" i="9"/>
  <c r="J31" i="9"/>
  <c r="H10" i="8"/>
  <c r="H9" i="8" s="1"/>
  <c r="H8" i="8" s="1"/>
  <c r="L10" i="9"/>
  <c r="L21" i="11"/>
  <c r="L11" i="1"/>
  <c r="J36" i="9"/>
  <c r="J50" i="11"/>
  <c r="J51" i="11"/>
  <c r="M59" i="11"/>
  <c r="I9" i="8"/>
  <c r="J42" i="1"/>
  <c r="L9" i="8"/>
  <c r="L8" i="8" s="1"/>
  <c r="L7" i="8" s="1"/>
  <c r="L48" i="8" s="1"/>
  <c r="K17" i="9"/>
  <c r="H8" i="9"/>
  <c r="I8" i="9"/>
  <c r="K8" i="9"/>
  <c r="K27" i="8"/>
  <c r="K26" i="8" s="1"/>
  <c r="H27" i="8"/>
  <c r="H26" i="8" s="1"/>
  <c r="I8" i="8"/>
  <c r="I7" i="8" s="1"/>
  <c r="I48" i="8" s="1"/>
  <c r="G9" i="8"/>
  <c r="G8" i="8" s="1"/>
  <c r="G7" i="8" s="1"/>
  <c r="G48" i="8" s="1"/>
  <c r="K10" i="8"/>
  <c r="K9" i="8" s="1"/>
  <c r="K8" i="8" s="1"/>
  <c r="G8" i="9" l="1"/>
  <c r="G7" i="9" s="1"/>
  <c r="G39" i="9" s="1"/>
  <c r="L9" i="9"/>
  <c r="L8" i="9" s="1"/>
  <c r="L7" i="9" s="1"/>
  <c r="L39" i="9" s="1"/>
  <c r="I7" i="9"/>
  <c r="I39" i="9" s="1"/>
  <c r="K7" i="9"/>
  <c r="K39" i="9" s="1"/>
  <c r="H7" i="9"/>
  <c r="H39" i="9" s="1"/>
  <c r="K7" i="8"/>
  <c r="K48" i="8" s="1"/>
  <c r="H7" i="8"/>
  <c r="H48" i="8" s="1"/>
  <c r="F60" i="8" l="1"/>
  <c r="I60" i="8" s="1"/>
  <c r="F59" i="8"/>
  <c r="I59" i="8" s="1"/>
  <c r="F58" i="8"/>
  <c r="I58" i="8" s="1"/>
  <c r="F57" i="8"/>
  <c r="I57" i="8" s="1"/>
  <c r="F51" i="8"/>
  <c r="F50" i="8"/>
  <c r="K50" i="11" l="1"/>
  <c r="K51" i="11"/>
  <c r="F15" i="5" l="1"/>
  <c r="H15" i="11"/>
  <c r="H11" i="11" l="1"/>
  <c r="H19" i="11"/>
  <c r="H17" i="11"/>
  <c r="H12" i="11"/>
  <c r="H13" i="11"/>
  <c r="H10" i="6"/>
  <c r="K19" i="11" l="1"/>
  <c r="F60" i="5"/>
  <c r="F59" i="5"/>
  <c r="F58" i="5"/>
  <c r="F57" i="5"/>
  <c r="F51" i="5" l="1"/>
  <c r="F50" i="5"/>
  <c r="I60" i="6" l="1"/>
  <c r="I59" i="6"/>
  <c r="I58" i="6"/>
  <c r="I57" i="6"/>
  <c r="J52" i="6"/>
  <c r="J46" i="6"/>
  <c r="L45" i="6"/>
  <c r="K45" i="6"/>
  <c r="I45" i="6"/>
  <c r="H45" i="6"/>
  <c r="G45" i="6"/>
  <c r="F45" i="6"/>
  <c r="J44" i="6"/>
  <c r="J43" i="6"/>
  <c r="J42" i="6"/>
  <c r="J41" i="6"/>
  <c r="L40" i="6"/>
  <c r="K40" i="6"/>
  <c r="I40" i="6"/>
  <c r="H40" i="6"/>
  <c r="G40" i="6"/>
  <c r="F40" i="6"/>
  <c r="J38" i="6"/>
  <c r="F38" i="5" s="1"/>
  <c r="F37" i="11"/>
  <c r="F35" i="11"/>
  <c r="F34" i="11"/>
  <c r="F32" i="11"/>
  <c r="F30" i="11"/>
  <c r="F29" i="11"/>
  <c r="K27" i="6"/>
  <c r="K26" i="6" s="1"/>
  <c r="L27" i="6"/>
  <c r="I27" i="6"/>
  <c r="G27" i="6"/>
  <c r="G26" i="6" s="1"/>
  <c r="L26" i="6"/>
  <c r="I26" i="6"/>
  <c r="L24" i="6"/>
  <c r="K24" i="6"/>
  <c r="J24" i="6"/>
  <c r="I24" i="6"/>
  <c r="H24" i="6"/>
  <c r="G24" i="6"/>
  <c r="F24" i="6"/>
  <c r="L22" i="6"/>
  <c r="K22" i="6"/>
  <c r="J22" i="6"/>
  <c r="I22" i="6"/>
  <c r="H22" i="6"/>
  <c r="G22" i="6"/>
  <c r="F22" i="6"/>
  <c r="L19" i="6"/>
  <c r="L18" i="6" s="1"/>
  <c r="K18" i="6"/>
  <c r="I18" i="6"/>
  <c r="H18" i="6"/>
  <c r="G18" i="6"/>
  <c r="F18" i="6"/>
  <c r="L16" i="6"/>
  <c r="K16" i="6"/>
  <c r="I16" i="6"/>
  <c r="H16" i="6"/>
  <c r="G16" i="6"/>
  <c r="F16" i="6"/>
  <c r="L14" i="6"/>
  <c r="K14" i="6"/>
  <c r="I14" i="6"/>
  <c r="H14" i="6"/>
  <c r="G14" i="6"/>
  <c r="F14" i="6"/>
  <c r="L11" i="6"/>
  <c r="L9" i="6" s="1"/>
  <c r="J11" i="6"/>
  <c r="K10" i="6"/>
  <c r="I10" i="6"/>
  <c r="G10" i="6"/>
  <c r="F10" i="6"/>
  <c r="I59" i="5"/>
  <c r="I58" i="5"/>
  <c r="J52" i="5"/>
  <c r="F52" i="8" s="1"/>
  <c r="J52" i="8" s="1"/>
  <c r="J46" i="5"/>
  <c r="L45" i="5"/>
  <c r="K45" i="5"/>
  <c r="I45" i="5"/>
  <c r="H45" i="5"/>
  <c r="G45" i="5"/>
  <c r="F45" i="5"/>
  <c r="J45" i="5" s="1"/>
  <c r="J44" i="5"/>
  <c r="J43" i="5"/>
  <c r="J42" i="5"/>
  <c r="J41" i="5"/>
  <c r="L40" i="5"/>
  <c r="K40" i="5"/>
  <c r="I40" i="5"/>
  <c r="H40" i="5"/>
  <c r="G40" i="5"/>
  <c r="J40" i="5" s="1"/>
  <c r="F40" i="5"/>
  <c r="L27" i="5"/>
  <c r="L26" i="5" s="1"/>
  <c r="I27" i="5"/>
  <c r="I26" i="5" s="1"/>
  <c r="G27" i="5"/>
  <c r="G26" i="5"/>
  <c r="L24" i="5"/>
  <c r="K24" i="5"/>
  <c r="J24" i="5"/>
  <c r="I24" i="5"/>
  <c r="H24" i="5"/>
  <c r="G24" i="5"/>
  <c r="F24" i="5"/>
  <c r="L22" i="5"/>
  <c r="K22" i="5"/>
  <c r="J22" i="5"/>
  <c r="I22" i="5"/>
  <c r="H22" i="5"/>
  <c r="G22" i="5"/>
  <c r="F22" i="5"/>
  <c r="L18" i="5"/>
  <c r="K18" i="5"/>
  <c r="I18" i="5"/>
  <c r="H18" i="5"/>
  <c r="G18" i="5"/>
  <c r="L16" i="5"/>
  <c r="K16" i="5"/>
  <c r="I16" i="5"/>
  <c r="H16" i="5"/>
  <c r="G16" i="5"/>
  <c r="J15" i="5"/>
  <c r="F15" i="8" s="1"/>
  <c r="L14" i="5"/>
  <c r="K14" i="5"/>
  <c r="I14" i="5"/>
  <c r="H14" i="5"/>
  <c r="G14" i="5"/>
  <c r="F14" i="5"/>
  <c r="J13" i="5"/>
  <c r="F13" i="8" s="1"/>
  <c r="J13" i="8" s="1"/>
  <c r="L12" i="5"/>
  <c r="J12" i="5"/>
  <c r="F12" i="8" s="1"/>
  <c r="K10" i="5"/>
  <c r="I10" i="5"/>
  <c r="H10" i="5"/>
  <c r="G10" i="5"/>
  <c r="F50" i="11" l="1"/>
  <c r="F53" i="11"/>
  <c r="J53" i="11" s="1"/>
  <c r="F51" i="11"/>
  <c r="F33" i="11"/>
  <c r="F28" i="11"/>
  <c r="F31" i="11"/>
  <c r="J30" i="6"/>
  <c r="F30" i="5" s="1"/>
  <c r="J30" i="5" s="1"/>
  <c r="F30" i="8" s="1"/>
  <c r="J30" i="8" s="1"/>
  <c r="J34" i="6"/>
  <c r="F34" i="5" s="1"/>
  <c r="J34" i="5" s="1"/>
  <c r="F34" i="8" s="1"/>
  <c r="J34" i="8" s="1"/>
  <c r="J53" i="5"/>
  <c r="F53" i="8" s="1"/>
  <c r="J53" i="8" s="1"/>
  <c r="J29" i="6"/>
  <c r="F29" i="5" s="1"/>
  <c r="J29" i="5" s="1"/>
  <c r="F29" i="8" s="1"/>
  <c r="J29" i="8" s="1"/>
  <c r="J32" i="6"/>
  <c r="F32" i="5" s="1"/>
  <c r="J32" i="5" s="1"/>
  <c r="F32" i="8" s="1"/>
  <c r="J32" i="8" s="1"/>
  <c r="J35" i="6"/>
  <c r="F35" i="5" s="1"/>
  <c r="J35" i="5" s="1"/>
  <c r="F35" i="8" s="1"/>
  <c r="J35" i="8" s="1"/>
  <c r="J37" i="6"/>
  <c r="F37" i="5" s="1"/>
  <c r="J37" i="5" s="1"/>
  <c r="F37" i="8" s="1"/>
  <c r="J37" i="8" s="1"/>
  <c r="I9" i="5"/>
  <c r="I8" i="5" s="1"/>
  <c r="I7" i="5" s="1"/>
  <c r="I48" i="5" s="1"/>
  <c r="J15" i="8"/>
  <c r="F14" i="8"/>
  <c r="J14" i="8" s="1"/>
  <c r="J12" i="8"/>
  <c r="F10" i="8"/>
  <c r="I9" i="6"/>
  <c r="I8" i="6" s="1"/>
  <c r="I7" i="6" s="1"/>
  <c r="I48" i="6" s="1"/>
  <c r="J38" i="5"/>
  <c r="F38" i="8" s="1"/>
  <c r="J38" i="8" s="1"/>
  <c r="K27" i="5"/>
  <c r="K26" i="5" s="1"/>
  <c r="H9" i="5"/>
  <c r="H8" i="5" s="1"/>
  <c r="J14" i="5"/>
  <c r="K9" i="5"/>
  <c r="K8" i="5" s="1"/>
  <c r="F9" i="6"/>
  <c r="F8" i="6" s="1"/>
  <c r="J10" i="6"/>
  <c r="F11" i="5" s="1"/>
  <c r="G9" i="5"/>
  <c r="G8" i="5" s="1"/>
  <c r="G7" i="5" s="1"/>
  <c r="G48" i="5" s="1"/>
  <c r="J53" i="6"/>
  <c r="J16" i="6"/>
  <c r="F17" i="5" s="1"/>
  <c r="J40" i="6"/>
  <c r="J45" i="6"/>
  <c r="K9" i="6"/>
  <c r="K8" i="6" s="1"/>
  <c r="K7" i="6" s="1"/>
  <c r="K48" i="6" s="1"/>
  <c r="J14" i="6"/>
  <c r="H9" i="6"/>
  <c r="G9" i="6"/>
  <c r="G8" i="6" s="1"/>
  <c r="G7" i="6" s="1"/>
  <c r="G48" i="6" s="1"/>
  <c r="I57" i="5"/>
  <c r="I60" i="5"/>
  <c r="H27" i="5"/>
  <c r="H26" i="5" s="1"/>
  <c r="J28" i="6"/>
  <c r="F28" i="5" s="1"/>
  <c r="J33" i="6"/>
  <c r="F33" i="5" s="1"/>
  <c r="J33" i="5" s="1"/>
  <c r="F33" i="8" s="1"/>
  <c r="J33" i="8" s="1"/>
  <c r="J31" i="6"/>
  <c r="F31" i="5" s="1"/>
  <c r="J31" i="5" s="1"/>
  <c r="F31" i="8" s="1"/>
  <c r="J31" i="8" s="1"/>
  <c r="L8" i="6"/>
  <c r="L7" i="6" s="1"/>
  <c r="L48" i="6" s="1"/>
  <c r="F27" i="6"/>
  <c r="J18" i="6"/>
  <c r="F19" i="5" s="1"/>
  <c r="H27" i="6"/>
  <c r="H26" i="6" s="1"/>
  <c r="L9" i="5"/>
  <c r="L8" i="5" s="1"/>
  <c r="L7" i="5" s="1"/>
  <c r="L48" i="5" s="1"/>
  <c r="F27" i="11" l="1"/>
  <c r="F27" i="5"/>
  <c r="F26" i="5" s="1"/>
  <c r="J28" i="5"/>
  <c r="F28" i="8" s="1"/>
  <c r="J10" i="8"/>
  <c r="K7" i="5"/>
  <c r="K48" i="5" s="1"/>
  <c r="J19" i="5"/>
  <c r="F18" i="5"/>
  <c r="J18" i="5" s="1"/>
  <c r="J17" i="5"/>
  <c r="F16" i="5"/>
  <c r="J16" i="5" s="1"/>
  <c r="H7" i="5"/>
  <c r="H48" i="5" s="1"/>
  <c r="J11" i="5"/>
  <c r="F10" i="5"/>
  <c r="J9" i="6"/>
  <c r="J8" i="6" s="1"/>
  <c r="H8" i="6"/>
  <c r="H7" i="6" s="1"/>
  <c r="H48" i="6" s="1"/>
  <c r="F26" i="6"/>
  <c r="F7" i="6" s="1"/>
  <c r="F48" i="6" s="1"/>
  <c r="J27" i="6"/>
  <c r="J26" i="6" s="1"/>
  <c r="J27" i="5" l="1"/>
  <c r="J26" i="5" s="1"/>
  <c r="J27" i="11"/>
  <c r="J26" i="11" s="1"/>
  <c r="J7" i="11" s="1"/>
  <c r="J48" i="11" s="1"/>
  <c r="F26" i="11"/>
  <c r="F7" i="11" s="1"/>
  <c r="F48" i="11" s="1"/>
  <c r="F27" i="8"/>
  <c r="J28" i="8"/>
  <c r="F18" i="9" s="1"/>
  <c r="F19" i="8"/>
  <c r="F17" i="8"/>
  <c r="F9" i="5"/>
  <c r="J10" i="5"/>
  <c r="J7" i="6"/>
  <c r="J48" i="6" s="1"/>
  <c r="J27" i="8" l="1"/>
  <c r="J26" i="8" s="1"/>
  <c r="F26" i="8"/>
  <c r="J19" i="8"/>
  <c r="F18" i="8"/>
  <c r="J18" i="8" s="1"/>
  <c r="J17" i="8"/>
  <c r="F16" i="8"/>
  <c r="F8" i="5"/>
  <c r="F7" i="5" s="1"/>
  <c r="F48" i="5" s="1"/>
  <c r="J9" i="5"/>
  <c r="J8" i="5" s="1"/>
  <c r="J7" i="5" s="1"/>
  <c r="J48" i="5" s="1"/>
  <c r="F17" i="9" l="1"/>
  <c r="J18" i="9"/>
  <c r="J17" i="9" s="1"/>
  <c r="J16" i="8"/>
  <c r="F9" i="8"/>
  <c r="F8" i="8" l="1"/>
  <c r="F7" i="8" s="1"/>
  <c r="F48" i="8" s="1"/>
  <c r="J9" i="8"/>
  <c r="J8" i="8" s="1"/>
  <c r="J7" i="8" s="1"/>
  <c r="J48" i="8" s="1"/>
  <c r="F8" i="9"/>
  <c r="J8" i="9"/>
  <c r="J7" i="9" s="1"/>
  <c r="J39" i="9" s="1"/>
  <c r="F7" i="9" l="1"/>
  <c r="F39" i="9" s="1"/>
  <c r="G17" i="1"/>
  <c r="I47" i="1" l="1"/>
  <c r="I50" i="1"/>
  <c r="I49" i="1"/>
  <c r="I48" i="1"/>
  <c r="J28" i="1" l="1"/>
  <c r="J27" i="1" l="1"/>
  <c r="J34" i="1" l="1"/>
  <c r="J33" i="1"/>
  <c r="J32" i="1"/>
  <c r="J36" i="1"/>
  <c r="J31" i="1"/>
  <c r="H10" i="1"/>
  <c r="H9" i="1" s="1"/>
  <c r="J11" i="1"/>
  <c r="J12" i="1"/>
  <c r="J22" i="1" l="1"/>
  <c r="J23" i="1" l="1"/>
  <c r="J18" i="1"/>
  <c r="F17" i="1"/>
  <c r="K17" i="1"/>
  <c r="J19" i="1"/>
  <c r="J20" i="1"/>
  <c r="J24" i="1"/>
  <c r="J21" i="1"/>
  <c r="J25" i="1"/>
  <c r="L35" i="1" l="1"/>
  <c r="K35" i="1"/>
  <c r="I35" i="1"/>
  <c r="H35" i="1"/>
  <c r="G35" i="1"/>
  <c r="F35" i="1"/>
  <c r="L30" i="1"/>
  <c r="K30" i="1"/>
  <c r="I30" i="1"/>
  <c r="H30" i="1"/>
  <c r="G30" i="1"/>
  <c r="F30" i="1"/>
  <c r="L17" i="1"/>
  <c r="I17" i="1"/>
  <c r="J17" i="1" s="1"/>
  <c r="L14" i="1"/>
  <c r="K14" i="1"/>
  <c r="J14" i="1"/>
  <c r="I14" i="1"/>
  <c r="H14" i="1"/>
  <c r="G14" i="1"/>
  <c r="F14" i="1"/>
  <c r="L12" i="1"/>
  <c r="K12" i="1"/>
  <c r="I12" i="1"/>
  <c r="H12" i="1"/>
  <c r="G12" i="1"/>
  <c r="F12" i="1"/>
  <c r="F10" i="1"/>
  <c r="F9" i="1" s="1"/>
  <c r="L10" i="1"/>
  <c r="L9" i="1" s="1"/>
  <c r="I10" i="1"/>
  <c r="I9" i="1" s="1"/>
  <c r="G10" i="1"/>
  <c r="G9" i="1" s="1"/>
  <c r="H16" i="1" l="1"/>
  <c r="J30" i="1"/>
  <c r="J35" i="1"/>
  <c r="J10" i="1"/>
  <c r="H8" i="1"/>
  <c r="I8" i="1"/>
  <c r="G16" i="1"/>
  <c r="L8" i="1"/>
  <c r="K16" i="1"/>
  <c r="L16" i="1"/>
  <c r="I16" i="1"/>
  <c r="F16" i="1"/>
  <c r="K8" i="1"/>
  <c r="H7" i="1" l="1"/>
  <c r="H38" i="1" s="1"/>
  <c r="K7" i="1"/>
  <c r="K38" i="1" s="1"/>
  <c r="J16" i="1"/>
  <c r="F8" i="1"/>
  <c r="F7" i="1" s="1"/>
  <c r="F38" i="1" s="1"/>
  <c r="J9" i="1"/>
  <c r="J8" i="1" s="1"/>
  <c r="G8" i="1"/>
  <c r="G7" i="1" s="1"/>
  <c r="G38" i="1" s="1"/>
  <c r="L7" i="1"/>
  <c r="L38" i="1" s="1"/>
  <c r="I7" i="1"/>
  <c r="I38" i="1" s="1"/>
  <c r="J7" i="1" l="1"/>
  <c r="J38" i="1" s="1"/>
  <c r="J44" i="1" l="1"/>
</calcChain>
</file>

<file path=xl/comments1.xml><?xml version="1.0" encoding="utf-8"?>
<comments xmlns="http://schemas.openxmlformats.org/spreadsheetml/2006/main">
  <authors>
    <author>LAF Daniel Aguero Gonzalez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LAF Daniel Aguero Gonzalez:</t>
        </r>
        <r>
          <rPr>
            <sz val="9"/>
            <color indexed="81"/>
            <rFont val="Tahoma"/>
            <family val="2"/>
          </rPr>
          <t xml:space="preserve">
Disposición en Marzo 2016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LAF Daniel Aguero Gonzalez:</t>
        </r>
        <r>
          <rPr>
            <sz val="9"/>
            <color indexed="81"/>
            <rFont val="Tahoma"/>
            <family val="2"/>
          </rPr>
          <t xml:space="preserve">
Disposicion en Febrero 2016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LAF Daniel Aguero Gonzalez:</t>
        </r>
        <r>
          <rPr>
            <sz val="9"/>
            <color indexed="81"/>
            <rFont val="Tahoma"/>
            <family val="2"/>
          </rPr>
          <t xml:space="preserve">
Disposicion en Febrero 2016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LAF Daniel Aguero Gonzalez:</t>
        </r>
        <r>
          <rPr>
            <sz val="9"/>
            <color indexed="81"/>
            <rFont val="Tahoma"/>
            <family val="2"/>
          </rPr>
          <t xml:space="preserve">
Disposición en Oct</t>
        </r>
      </text>
    </comment>
  </commentList>
</comments>
</file>

<file path=xl/sharedStrings.xml><?xml version="1.0" encoding="utf-8"?>
<sst xmlns="http://schemas.openxmlformats.org/spreadsheetml/2006/main" count="451" uniqueCount="160">
  <si>
    <t>Formato 3 Informe Analítico de Obligaciones Diferentes de Financiamientos - LDF</t>
  </si>
  <si>
    <t>NOMBRE DEL ENTE PUBLICO (a)</t>
  </si>
  <si>
    <t>Informe Analítico de la Deuda Pública y Otros Pasivos - LDF</t>
  </si>
  <si>
    <t>Del 1 de enero al XX de XXXX de 20XN (b)</t>
  </si>
  <si>
    <t>(PESOS)</t>
  </si>
  <si>
    <t>1. Deuda Pública (1=A+B)</t>
  </si>
  <si>
    <t>A. Corto Plazo (A=a1+a2+a3)</t>
  </si>
  <si>
    <t>a3) Arrendamientos Financieros</t>
  </si>
  <si>
    <t>B. Largo Plazo (B=b1+b2+b3)</t>
  </si>
  <si>
    <t xml:space="preserve">Denominación de la Deuda Pública y Otros Pasivos (c) </t>
  </si>
  <si>
    <t>Formato 2  Informe Analítico de la Deuda Pública y Otros Pasivos - LDF</t>
  </si>
  <si>
    <t>Disposiciones
del Periodo (e)</t>
  </si>
  <si>
    <t>Amortizaciones
del Periodo (f)</t>
  </si>
  <si>
    <t>Revaluaciones,
Reclasificaciones
y Otros Ajustes (g)</t>
  </si>
  <si>
    <t>Saldo Final
del Periodo
(h)
h=d+e-f+g</t>
  </si>
  <si>
    <t>Pago de
Intereses del
Periodo (i)</t>
  </si>
  <si>
    <t>Pago de
Comisiones y
demás costos
asociados durante
el Periodo (j)</t>
  </si>
  <si>
    <t>b3) Arrendamientos Financieros</t>
  </si>
  <si>
    <t>2. Otros Pasivos</t>
  </si>
  <si>
    <t>3. Total de la Deuda Pública y Otros Pasivos
(3=1+2)</t>
  </si>
  <si>
    <t>4. Deuda Contingente * (informativo)</t>
  </si>
  <si>
    <t>5. Valor de Instrumentos Bono Cupón Cero ** (Informativo)</t>
  </si>
  <si>
    <t>** Se refiere al valor del Bono Cupón Cero que respalda el pago de los créditos asociados al mismo (Activo).</t>
  </si>
  <si>
    <t>*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</si>
  <si>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Monto
Contratado (l)</t>
  </si>
  <si>
    <t>Tasa de Interés
(n)</t>
  </si>
  <si>
    <t>Comisiones y
Costos
Relacionados (o)</t>
  </si>
  <si>
    <t>Tasa Efectiva
(p)</t>
  </si>
  <si>
    <t>6. Obligaciones a Corto Plazo (Informativo)</t>
  </si>
  <si>
    <t>Informe Analítico de Obligaciones Diferentes de Financiamientos LDF</t>
  </si>
  <si>
    <t>Denominación de las Obligaciones
Diferentes de Financiamiento(c)</t>
  </si>
  <si>
    <t>Fecha del
Contrato (d)</t>
  </si>
  <si>
    <t>Fecha de
vencimiento
(f)</t>
  </si>
  <si>
    <t>Monto de la
inversión
pactado (g)</t>
  </si>
  <si>
    <t>Plazo
pactado (h)</t>
  </si>
  <si>
    <t>Monto promedio
mensual del pago
de la
contraprestación
(i)</t>
  </si>
  <si>
    <t>Monto promedio
mensual del pago
de la
contraprestación
correspondiente al
pago de inversión
(j)</t>
  </si>
  <si>
    <t>Monto pagado de la
inversión al XX de
XXXX de 20XN (k)</t>
  </si>
  <si>
    <t>Fecha de
inicio de
operación del
proyecto ( e )</t>
  </si>
  <si>
    <t>a) APP 1</t>
  </si>
  <si>
    <t>b) APP 2</t>
  </si>
  <si>
    <t>c) APP 3</t>
  </si>
  <si>
    <t>d) APP XX</t>
  </si>
  <si>
    <t>B. Otros Instrumentos (B=a+b+c+d)</t>
  </si>
  <si>
    <t>A. Asociaciones Público Privadas (APP's) (A=a+b+c+d)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</si>
  <si>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</si>
  <si>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</si>
  <si>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</si>
  <si>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</si>
  <si>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</si>
  <si>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Gobierno del Estado de Chihuahua</t>
  </si>
  <si>
    <t>Saldo al 31 de diciembre de 2015 (d)</t>
  </si>
  <si>
    <t>Del 1 de enero al 31 de diciembre de 2016</t>
  </si>
  <si>
    <t>a1) Instituciones de Crédito</t>
  </si>
  <si>
    <t>a2) Títulos y Valores</t>
  </si>
  <si>
    <t>b1) Instituciones de Crédito</t>
  </si>
  <si>
    <t>b2) Títulos y Valores</t>
  </si>
  <si>
    <t xml:space="preserve">INTERACCIONES </t>
  </si>
  <si>
    <t>HSBC</t>
  </si>
  <si>
    <t>BANORTE</t>
  </si>
  <si>
    <t>BANCOMER</t>
  </si>
  <si>
    <t>MULTIVA</t>
  </si>
  <si>
    <t>Obligaciones a Corto Plazo (k)</t>
  </si>
  <si>
    <t>SANTANDER</t>
  </si>
  <si>
    <t>B.</t>
  </si>
  <si>
    <t>A.</t>
  </si>
  <si>
    <t>C.</t>
  </si>
  <si>
    <t>D.</t>
  </si>
  <si>
    <t>BANOBRAS 1400</t>
  </si>
  <si>
    <t>BANOBRAS 1200</t>
  </si>
  <si>
    <t>BANOBRAS 1020</t>
  </si>
  <si>
    <t>BANOBRAS 657</t>
  </si>
  <si>
    <t>E.</t>
  </si>
  <si>
    <t>G.</t>
  </si>
  <si>
    <t>H.</t>
  </si>
  <si>
    <t>I.</t>
  </si>
  <si>
    <t>J.</t>
  </si>
  <si>
    <t>INTERACCIONES (2)</t>
  </si>
  <si>
    <t>MULTIVA (3)</t>
  </si>
  <si>
    <t>BBVA BANCOMER (4)</t>
  </si>
  <si>
    <t>BBVA BANCOMER (5)</t>
  </si>
  <si>
    <t>BBVA BANCOMER (6)</t>
  </si>
  <si>
    <t>BANORTE (11)</t>
  </si>
  <si>
    <t>SANTANDER (12)</t>
  </si>
  <si>
    <t>BANORTE (20)</t>
  </si>
  <si>
    <t>INBURSA (F-80663)</t>
  </si>
  <si>
    <t>INBURSA (F-80645)</t>
  </si>
  <si>
    <t>INBURSA (F-80742)</t>
  </si>
  <si>
    <t>TIIE +</t>
  </si>
  <si>
    <t>Interacciones disp.</t>
  </si>
  <si>
    <t>Multiva</t>
  </si>
  <si>
    <t>Banorte</t>
  </si>
  <si>
    <t>BBVA</t>
  </si>
  <si>
    <t>INBURSA (F-80634)</t>
  </si>
  <si>
    <t>Carretero</t>
  </si>
  <si>
    <t>Del 1 de enero al 31 de marzo de 2016</t>
  </si>
  <si>
    <t>Del 1 de abril al 30 de junio de 2016</t>
  </si>
  <si>
    <t>Saldo al 30 de marzo de 2016 (d)</t>
  </si>
  <si>
    <t>Del 1 de julio al 30 de septiembre de 2016</t>
  </si>
  <si>
    <t>Saldo al 30 de junio de 2016 (d)</t>
  </si>
  <si>
    <t>BANOBRAS 1400  Fin-10</t>
  </si>
  <si>
    <t>BANOBRAS 1200 Fin-8</t>
  </si>
  <si>
    <t>BANOBRAS 1020 Fin-7</t>
  </si>
  <si>
    <t>BANOBRAS 657  Fin-9</t>
  </si>
  <si>
    <t>9217 1 0000000000 1 00000 1880000000001411 8406013 C0000 E80101 00 110116</t>
  </si>
  <si>
    <t>9217 1 0000000000 1 00000 1880000000001411 8406513 C0000 E80101 00 110116</t>
  </si>
  <si>
    <t>9212 1 0000000000 1 00000 1880000000001411 8400509 C0000 E80101 00 110116</t>
  </si>
  <si>
    <t>9211 1 0000000000 1 00000 1880000000001411 8401010 C0000 E80101 00 110116</t>
  </si>
  <si>
    <t>9217 1 0000000000 1 00000 1880000000001411 8407013 C0000 E80101 00 110116</t>
  </si>
  <si>
    <t>9215 1 0000000000 1 00000 1880000000001411 8408014 C0000 E80101 00 110116</t>
  </si>
  <si>
    <t>9215 1 0000000000 1 00000 1880000000001411 8407514 C0000 E80101 00 110116</t>
  </si>
  <si>
    <t>9215 1 0000000000 1 00000 1880000000001411 8409015 C0000 E80101 00 110116</t>
  </si>
  <si>
    <t>9211 1 0000000000 1 00000 1880000000001411 8401511 C0000 E80101 00 110116</t>
  </si>
  <si>
    <t>9211 1 0000000000 1 00000 1880000000001411 8403512 C0000 E80101 00 110116</t>
  </si>
  <si>
    <t>9117 3 0000000000 1 00000 1880000000001411 8406013 C0000 E80101 00 110116</t>
  </si>
  <si>
    <t>9118 3 0000000000 1 00000 1880000000001411 8406513 C0000 E80101 00 110116</t>
  </si>
  <si>
    <t>9112 3 0000000000 1 00000 1880000000001411 8400509 C0000 E80101 00 110116</t>
  </si>
  <si>
    <t>9119 3 0000000000 1 00000 1880000000001411 8407013 C0000 E80101 00 110116</t>
  </si>
  <si>
    <t>9115 3 0000000000 1 00000 1880000000001411 8408014 C0000 E80101 00 110116</t>
  </si>
  <si>
    <t>9115 3 0000000000 1 00000 1880000000001411 8407514 C0000 E80101 00 110116</t>
  </si>
  <si>
    <t>9115 3 0000000000 1 00000 1880000000001411 8409015 C0000 E80101 00 110116</t>
  </si>
  <si>
    <t>9111 3 0000000000 1 00000  1880000000001411 8401010 C0000 E80101 00 110116</t>
  </si>
  <si>
    <t>9113 3 0000000000 1 00000 1880000000001411 8401511  C0000 E80101 68 110116</t>
  </si>
  <si>
    <t>9114 3 0000000000 1 00000 1880000000001411 8403512 C0000 E80101 68 110116</t>
  </si>
  <si>
    <t>212110006 0000 0 0000000000 0 00000 0000000000000 000 9100100 00000 000000 0 110116</t>
  </si>
  <si>
    <t>1 1212973912 0 0000000000000000 8402011 00000 000000 00 110116</t>
  </si>
  <si>
    <t>1 1212973922 0 0000000000000000 8402512 00000 000000 00 110116</t>
  </si>
  <si>
    <t>1 1212973925 0 0000000000000000 8404013 00000 000000 00 110116</t>
  </si>
  <si>
    <t>9211 1 0000000000 1 00000 1880000000001 411 8404013 C0000 E80101 00 110116</t>
  </si>
  <si>
    <t>9211 1 0000000000 1 00000 1880000000001 411 8402512 C0000 E80101 00 110116</t>
  </si>
  <si>
    <t>9211 1 0000000000 1 00000 1880000000001 411 8403012 C0000 E80101 00 110116</t>
  </si>
  <si>
    <t>9211 1 0000000000 1 00000 1880000000001 411 8402011 C0000 E80101 00 110116</t>
  </si>
  <si>
    <t>1 0000000000 3419 1 0000000000 1 00000 1320200000001 185 8409516 C0000 E80101 01 110117</t>
  </si>
  <si>
    <t>1 0000000000 3418 1 0000000000 1 00000 1320200000001 185 8409516 C0000 E80101 01 110117</t>
  </si>
  <si>
    <t>INBURSA</t>
  </si>
  <si>
    <t>INTERACCIONES</t>
  </si>
  <si>
    <t>***Las Emisiones bursátiles emitidas por Fideicomisos Carreteros y  creditos 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</t>
  </si>
  <si>
    <t>** Se refiere al valor del Bono Cupón Cero que respalda el pago de los créditos asociados al mismo (Activo). El pago de comisiones corresponde a la custodia y administración de valores del Cupón.</t>
  </si>
  <si>
    <t>BANOBRAS</t>
  </si>
  <si>
    <t xml:space="preserve">BANOBRAS </t>
  </si>
  <si>
    <t>Emision Bursatil ISN</t>
  </si>
  <si>
    <t>****</t>
  </si>
  <si>
    <t>***</t>
  </si>
  <si>
    <t>Emision Bursatil PEAJE</t>
  </si>
  <si>
    <t>**** Deuda contratada por la Comision Estatal de Vivienda, Suelo e Infraestructura el servicio de la Deuda es pagada con ingresos propios del organismo, el Estado solo es Deudor Solidario.</t>
  </si>
  <si>
    <r>
      <t xml:space="preserve">Plazo Pactado </t>
    </r>
    <r>
      <rPr>
        <b/>
        <sz val="9"/>
        <color theme="0"/>
        <rFont val="Calibri"/>
        <family val="2"/>
        <scheme val="minor"/>
      </rPr>
      <t>(m)</t>
    </r>
  </si>
  <si>
    <t>TIIE + 1.25%</t>
  </si>
  <si>
    <t>Del 1 de enero al 31 de marzo de 2017</t>
  </si>
  <si>
    <t>Saldo al 31 de diciembre de 2016 (d)</t>
  </si>
  <si>
    <t>BBVA BANCOMER 1716</t>
  </si>
  <si>
    <t>BBVA BANCOMER 2028</t>
  </si>
  <si>
    <t>BBVA BANCOMER 1380</t>
  </si>
  <si>
    <t>INBURSA 5000</t>
  </si>
  <si>
    <t>INBURSA 1160</t>
  </si>
  <si>
    <t>Del 1 de enero al 31 de diciembre de 2017</t>
  </si>
  <si>
    <t>C.P. OSCAR RUIZ SUAREZ</t>
  </si>
  <si>
    <t>DIRECTOR DE CONTABILIDAD GUBERNAMENTAL</t>
  </si>
  <si>
    <t>C.P. MANUEL JOSE NAVARRO BACA</t>
  </si>
  <si>
    <t>JEFE DE DEPARTAMENTO DE INFORMACIÓN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</si>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</sst>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8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/>
    <xf numFmtId="44" fontId="18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/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0" xfId="0" applyBorder="1"/>
    <xf numFmtId="0" fontId="0" fillId="0" borderId="11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164" fontId="1" fillId="0" borderId="0" xfId="1" applyNumberFormat="1" applyFont="1" applyBorder="1" applyAlignment="1">
      <alignment vertical="top" wrapText="1"/>
    </xf>
    <xf numFmtId="164" fontId="0" fillId="0" borderId="0" xfId="1" applyNumberFormat="1" applyFont="1" applyBorder="1"/>
    <xf numFmtId="164" fontId="0" fillId="0" borderId="12" xfId="1" applyNumberFormat="1" applyFont="1" applyBorder="1"/>
    <xf numFmtId="164" fontId="0" fillId="0" borderId="2" xfId="1" applyNumberFormat="1" applyFont="1" applyBorder="1"/>
    <xf numFmtId="164" fontId="0" fillId="0" borderId="7" xfId="1" applyNumberFormat="1" applyFont="1" applyBorder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164" fontId="1" fillId="3" borderId="0" xfId="1" applyNumberFormat="1" applyFont="1" applyFill="1" applyBorder="1" applyAlignment="1">
      <alignment vertical="top" wrapText="1"/>
    </xf>
    <xf numFmtId="164" fontId="0" fillId="3" borderId="0" xfId="1" applyNumberFormat="1" applyFont="1" applyFill="1" applyBorder="1"/>
    <xf numFmtId="164" fontId="0" fillId="3" borderId="12" xfId="1" applyNumberFormat="1" applyFont="1" applyFill="1" applyBorder="1"/>
    <xf numFmtId="0" fontId="0" fillId="3" borderId="0" xfId="0" applyFill="1" applyBorder="1" applyAlignment="1"/>
    <xf numFmtId="0" fontId="2" fillId="3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vertical="center"/>
    </xf>
    <xf numFmtId="164" fontId="3" fillId="5" borderId="12" xfId="1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164" fontId="1" fillId="5" borderId="0" xfId="1" applyNumberFormat="1" applyFont="1" applyFill="1" applyBorder="1" applyAlignment="1">
      <alignment vertical="top" wrapText="1"/>
    </xf>
    <xf numFmtId="164" fontId="0" fillId="5" borderId="0" xfId="1" applyNumberFormat="1" applyFont="1" applyFill="1" applyBorder="1"/>
    <xf numFmtId="0" fontId="0" fillId="5" borderId="11" xfId="0" applyFill="1" applyBorder="1" applyAlignment="1"/>
    <xf numFmtId="0" fontId="0" fillId="3" borderId="11" xfId="0" applyFill="1" applyBorder="1"/>
    <xf numFmtId="0" fontId="2" fillId="3" borderId="11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0" fillId="0" borderId="0" xfId="1" applyNumberFormat="1" applyFont="1" applyFill="1" applyBorder="1"/>
    <xf numFmtId="164" fontId="0" fillId="5" borderId="10" xfId="1" applyNumberFormat="1" applyFont="1" applyFill="1" applyBorder="1"/>
    <xf numFmtId="164" fontId="0" fillId="0" borderId="12" xfId="1" applyNumberFormat="1" applyFont="1" applyFill="1" applyBorder="1"/>
    <xf numFmtId="0" fontId="2" fillId="0" borderId="0" xfId="0" applyFont="1" applyFill="1" applyBorder="1" applyAlignment="1">
      <alignment horizontal="right" vertical="center"/>
    </xf>
    <xf numFmtId="43" fontId="0" fillId="0" borderId="0" xfId="1" applyFont="1" applyFill="1" applyBorder="1"/>
    <xf numFmtId="44" fontId="3" fillId="4" borderId="9" xfId="2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0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2" borderId="5" xfId="1" applyNumberFormat="1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0" fillId="0" borderId="7" xfId="0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3" fontId="0" fillId="0" borderId="5" xfId="1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10" fontId="0" fillId="0" borderId="5" xfId="3" applyNumberFormat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0" fontId="0" fillId="0" borderId="1" xfId="3" applyNumberFormat="1" applyFont="1" applyFill="1" applyBorder="1" applyAlignment="1">
      <alignment horizontal="center" vertical="center"/>
    </xf>
    <xf numFmtId="10" fontId="0" fillId="0" borderId="14" xfId="3" applyNumberFormat="1" applyFont="1" applyFill="1" applyBorder="1" applyAlignment="1">
      <alignment horizontal="center" vertical="center"/>
    </xf>
    <xf numFmtId="164" fontId="15" fillId="6" borderId="0" xfId="1" applyNumberFormat="1" applyFont="1" applyFill="1" applyBorder="1"/>
    <xf numFmtId="164" fontId="15" fillId="0" borderId="0" xfId="1" applyNumberFormat="1" applyFont="1" applyFill="1" applyBorder="1"/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164" fontId="1" fillId="0" borderId="0" xfId="1" applyNumberFormat="1" applyFont="1" applyFill="1" applyBorder="1" applyAlignment="1">
      <alignment vertical="top" wrapText="1"/>
    </xf>
    <xf numFmtId="164" fontId="0" fillId="6" borderId="0" xfId="1" applyNumberFormat="1" applyFont="1" applyFill="1" applyBorder="1"/>
    <xf numFmtId="164" fontId="15" fillId="5" borderId="0" xfId="1" applyNumberFormat="1" applyFont="1" applyFill="1" applyBorder="1" applyAlignment="1">
      <alignment vertical="top" wrapText="1"/>
    </xf>
    <xf numFmtId="164" fontId="15" fillId="3" borderId="0" xfId="1" applyNumberFormat="1" applyFont="1" applyFill="1" applyBorder="1" applyAlignment="1">
      <alignment vertical="top" wrapText="1"/>
    </xf>
    <xf numFmtId="164" fontId="0" fillId="7" borderId="0" xfId="1" applyNumberFormat="1" applyFont="1" applyFill="1" applyBorder="1"/>
    <xf numFmtId="164" fontId="0" fillId="7" borderId="2" xfId="1" applyNumberFormat="1" applyFont="1" applyFill="1" applyBorder="1"/>
    <xf numFmtId="164" fontId="0" fillId="0" borderId="0" xfId="1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/>
    <xf numFmtId="0" fontId="16" fillId="0" borderId="0" xfId="0" applyFont="1" applyAlignment="1">
      <alignment horizontal="left"/>
    </xf>
    <xf numFmtId="164" fontId="0" fillId="0" borderId="0" xfId="0" applyNumberFormat="1"/>
    <xf numFmtId="0" fontId="6" fillId="0" borderId="0" xfId="0" applyFont="1" applyAlignment="1">
      <alignment vertical="top"/>
    </xf>
    <xf numFmtId="0" fontId="19" fillId="0" borderId="0" xfId="0" applyFont="1" applyFill="1" applyBorder="1"/>
    <xf numFmtId="0" fontId="6" fillId="0" borderId="0" xfId="0" applyFont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0" fontId="0" fillId="0" borderId="11" xfId="0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0" fillId="0" borderId="10" xfId="1" applyNumberFormat="1" applyFont="1" applyFill="1" applyBorder="1"/>
    <xf numFmtId="0" fontId="0" fillId="0" borderId="11" xfId="0" applyFill="1" applyBorder="1"/>
    <xf numFmtId="0" fontId="0" fillId="0" borderId="0" xfId="0" applyFill="1" applyBorder="1" applyAlignment="1"/>
    <xf numFmtId="0" fontId="3" fillId="0" borderId="11" xfId="0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0" fontId="0" fillId="0" borderId="0" xfId="0" applyFill="1" applyBorder="1"/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0" fontId="20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Font="1" applyFill="1"/>
    <xf numFmtId="164" fontId="0" fillId="0" borderId="0" xfId="0" applyNumberFormat="1" applyFill="1"/>
    <xf numFmtId="0" fontId="0" fillId="0" borderId="7" xfId="0" applyFill="1" applyBorder="1"/>
    <xf numFmtId="0" fontId="0" fillId="0" borderId="0" xfId="0" applyFill="1" applyAlignment="1"/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164" fontId="0" fillId="0" borderId="2" xfId="1" applyNumberFormat="1" applyFont="1" applyFill="1" applyBorder="1"/>
    <xf numFmtId="164" fontId="0" fillId="0" borderId="7" xfId="1" applyNumberFormat="1" applyFont="1" applyFill="1" applyBorder="1"/>
    <xf numFmtId="0" fontId="0" fillId="0" borderId="0" xfId="0" applyFont="1" applyFill="1"/>
    <xf numFmtId="0" fontId="0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43" fontId="0" fillId="0" borderId="5" xfId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0" fontId="0" fillId="0" borderId="10" xfId="3" applyNumberFormat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horizontal="center" vertical="center" wrapText="1"/>
    </xf>
    <xf numFmtId="10" fontId="0" fillId="0" borderId="5" xfId="3" applyNumberFormat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9" fontId="0" fillId="0" borderId="1" xfId="3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3" fontId="0" fillId="0" borderId="0" xfId="1" applyFont="1" applyFill="1"/>
    <xf numFmtId="0" fontId="24" fillId="8" borderId="5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10" fontId="0" fillId="0" borderId="7" xfId="3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165" fontId="3" fillId="0" borderId="9" xfId="2" applyNumberFormat="1" applyFont="1" applyFill="1" applyBorder="1" applyAlignment="1">
      <alignment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right" vertical="center"/>
    </xf>
    <xf numFmtId="164" fontId="1" fillId="6" borderId="0" xfId="1" applyNumberFormat="1" applyFont="1" applyFill="1" applyBorder="1" applyAlignment="1">
      <alignment vertical="top" wrapText="1"/>
    </xf>
    <xf numFmtId="164" fontId="0" fillId="6" borderId="12" xfId="1" applyNumberFormat="1" applyFont="1" applyFill="1" applyBorder="1"/>
    <xf numFmtId="164" fontId="0" fillId="0" borderId="0" xfId="1" applyNumberFormat="1" applyFont="1" applyFill="1"/>
    <xf numFmtId="3" fontId="28" fillId="0" borderId="0" xfId="0" applyNumberFormat="1" applyFont="1" applyAlignment="1">
      <alignment horizontal="right" vertical="center"/>
    </xf>
    <xf numFmtId="164" fontId="0" fillId="6" borderId="10" xfId="1" applyNumberFormat="1" applyFont="1" applyFill="1" applyBorder="1" applyAlignment="1">
      <alignment horizontal="center" vertical="center"/>
    </xf>
    <xf numFmtId="164" fontId="0" fillId="6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164" fontId="0" fillId="0" borderId="12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1" applyNumberFormat="1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0" fillId="0" borderId="10" xfId="1" applyNumberFormat="1" applyFont="1" applyFill="1" applyBorder="1" applyAlignment="1">
      <alignment horizontal="center" vertical="center"/>
    </xf>
    <xf numFmtId="0" fontId="0" fillId="0" borderId="12" xfId="1" applyNumberFormat="1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top"/>
    </xf>
  </cellXfs>
  <cellStyles count="6">
    <cellStyle name="Millares" xfId="1" builtinId="3"/>
    <cellStyle name="Moneda" xfId="2" builtinId="4"/>
    <cellStyle name="Moneda 2" xfId="5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Corto%20Plazo/Tablas%20de%20amortizacion%20corto%20plaz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Corto%20Plazo/2016/Tablas%20de%20amortizacion%20corto%20plazo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0152/Tablas%20de%20amortizaci&#243;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63%20Inbursa%205000%20mdp/Tabla%20de%20amortizacion%20Inbursa%205,000%20md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45%20Inbursa%201160%20mdp/Tabla%20de%20amortizaci&#243;n%20Inbursa%201160md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Deuda%20Contingente/Tabla%20de%20amortizaci&#243;n%20contingen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742%20Inbursa%206000%20mdp%20(antes%203000mdp)/Tabla%20de%20Amortizacion%20Inbursa%206000%20mdp%20(28-sept-2016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34%20ISN%203000%20mdp/Tabla%20amortizacion%20Emision%20Bursaltil%20IS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BCC/Tablas%20de%20amortizacion%20BC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ISTEMA%20HACENDARIO/2016/REGISTRO%20DE%20GASTO%20Y%20FACTURAS%20SISTEMA%20HACENDA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rte $1000  ene 2015"/>
      <sheetName val="Banorte $1000  MAY 2015 (2)"/>
      <sheetName val="HSBC 300 feb2015"/>
      <sheetName val="HSBC 300 JULIO 2015 "/>
      <sheetName val="Interaciones 1000 mar 2015"/>
      <sheetName val="Interaciones 1000 jun 2015"/>
      <sheetName val="Interaciones 1000 mar 2015 (2)"/>
      <sheetName val="Interaciones 500 may 2015"/>
      <sheetName val="Interaciones 500 julio 30 2015 "/>
      <sheetName val="Interaciones 1000 SEP 2015 "/>
      <sheetName val="Interaciones 150  OCT 2015 "/>
      <sheetName val="Interaciones 350  OCT 2015"/>
      <sheetName val="Interaciones 1000 DIC 2015 "/>
      <sheetName val="BBVA 500 SEP 2015 "/>
      <sheetName val="2015"/>
      <sheetName val="Interaciones 1000 Ene 2016"/>
      <sheetName val="BBVA 500 marzo 2016"/>
      <sheetName val="HSBC 500 febrero 2016"/>
      <sheetName val="Banorte $1000  Feb 2016"/>
      <sheetName val="Interaciones 434988 Abril 2016"/>
      <sheetName val="Interaciones 434990 Abril 2016"/>
      <sheetName val="Interacciones 2914 Abril 2016"/>
      <sheetName val="Hoja1"/>
      <sheetName val="Multiva $900  Octubre 2016"/>
      <sheetName val="Multiva $900  Noviembre 2016"/>
      <sheetName val="Multiva $1800 "/>
      <sheetName val="Tablas de amortizacion corto pl"/>
    </sheetNames>
    <sheetDataSet>
      <sheetData sheetId="0">
        <row r="15">
          <cell r="E15">
            <v>501000000</v>
          </cell>
        </row>
      </sheetData>
      <sheetData sheetId="1">
        <row r="12">
          <cell r="E12">
            <v>1000000000</v>
          </cell>
        </row>
      </sheetData>
      <sheetData sheetId="2">
        <row r="12">
          <cell r="E12">
            <v>300000000</v>
          </cell>
        </row>
      </sheetData>
      <sheetData sheetId="3">
        <row r="19">
          <cell r="E19">
            <v>300000000</v>
          </cell>
        </row>
      </sheetData>
      <sheetData sheetId="4">
        <row r="12">
          <cell r="E12">
            <v>1000000000</v>
          </cell>
        </row>
      </sheetData>
      <sheetData sheetId="5">
        <row r="18">
          <cell r="F18">
            <v>1000000000</v>
          </cell>
        </row>
      </sheetData>
      <sheetData sheetId="6"/>
      <sheetData sheetId="7">
        <row r="12">
          <cell r="E12">
            <v>500000000</v>
          </cell>
        </row>
      </sheetData>
      <sheetData sheetId="8">
        <row r="14">
          <cell r="E14">
            <v>350000000</v>
          </cell>
        </row>
      </sheetData>
      <sheetData sheetId="9">
        <row r="12">
          <cell r="E12">
            <v>1000000000</v>
          </cell>
        </row>
      </sheetData>
      <sheetData sheetId="10">
        <row r="12">
          <cell r="E12">
            <v>150000000</v>
          </cell>
        </row>
      </sheetData>
      <sheetData sheetId="11">
        <row r="12">
          <cell r="E12">
            <v>350000000</v>
          </cell>
        </row>
      </sheetData>
      <sheetData sheetId="12">
        <row r="16">
          <cell r="E16">
            <v>1000000000</v>
          </cell>
        </row>
      </sheetData>
      <sheetData sheetId="13">
        <row r="17">
          <cell r="E17">
            <v>500000000</v>
          </cell>
        </row>
      </sheetData>
      <sheetData sheetId="14"/>
      <sheetData sheetId="15">
        <row r="15">
          <cell r="E15">
            <v>1000000000</v>
          </cell>
          <cell r="F15">
            <v>0</v>
          </cell>
          <cell r="I15">
            <v>3027150</v>
          </cell>
        </row>
        <row r="16">
          <cell r="F16">
            <v>200000000</v>
          </cell>
          <cell r="I16">
            <v>4542750</v>
          </cell>
        </row>
        <row r="17">
          <cell r="F17">
            <v>200000000</v>
          </cell>
          <cell r="I17">
            <v>4512291.1811111113</v>
          </cell>
        </row>
        <row r="18">
          <cell r="F18">
            <v>600000000</v>
          </cell>
          <cell r="I18">
            <v>3063666.7566666668</v>
          </cell>
        </row>
      </sheetData>
      <sheetData sheetId="16">
        <row r="17">
          <cell r="F17">
            <v>166666666.66</v>
          </cell>
          <cell r="I17">
            <v>1347733.3333333335</v>
          </cell>
        </row>
        <row r="18">
          <cell r="F18">
            <v>166666666.66</v>
          </cell>
          <cell r="I18">
            <v>1797037.0370729782</v>
          </cell>
        </row>
        <row r="19">
          <cell r="F19">
            <v>166666666.68000004</v>
          </cell>
          <cell r="I19">
            <v>814349.53710218519</v>
          </cell>
        </row>
      </sheetData>
      <sheetData sheetId="17">
        <row r="12">
          <cell r="E12">
            <v>500000000</v>
          </cell>
          <cell r="F12">
            <v>0</v>
          </cell>
          <cell r="I12">
            <v>2441477.777777778</v>
          </cell>
        </row>
        <row r="13">
          <cell r="F13">
            <v>125000000</v>
          </cell>
          <cell r="I13">
            <v>2460937.5000000005</v>
          </cell>
        </row>
        <row r="14">
          <cell r="F14">
            <v>125000000</v>
          </cell>
          <cell r="I14">
            <v>1982421.875</v>
          </cell>
        </row>
        <row r="15">
          <cell r="F15">
            <v>125000000</v>
          </cell>
          <cell r="I15">
            <v>1413298.6111111115</v>
          </cell>
        </row>
        <row r="16">
          <cell r="F16">
            <v>125000000</v>
          </cell>
          <cell r="I16">
            <v>641326.38888888888</v>
          </cell>
        </row>
      </sheetData>
      <sheetData sheetId="18">
        <row r="12">
          <cell r="E12">
            <v>1000000000</v>
          </cell>
          <cell r="F12">
            <v>250000000</v>
          </cell>
          <cell r="I12">
            <v>7098061.1133333342</v>
          </cell>
        </row>
        <row r="13">
          <cell r="E13">
            <v>750000000</v>
          </cell>
          <cell r="F13">
            <v>750000000</v>
          </cell>
          <cell r="I13">
            <v>3825845.833333333</v>
          </cell>
        </row>
      </sheetData>
      <sheetData sheetId="19">
        <row r="12">
          <cell r="F12">
            <v>0</v>
          </cell>
          <cell r="I12">
            <v>11737146.397019606</v>
          </cell>
        </row>
        <row r="13">
          <cell r="F13">
            <v>0</v>
          </cell>
          <cell r="I13">
            <v>10109448.897646176</v>
          </cell>
        </row>
        <row r="14">
          <cell r="F14">
            <v>672097202.41999996</v>
          </cell>
          <cell r="I14">
            <v>10807277.436920309</v>
          </cell>
        </row>
        <row r="15">
          <cell r="F15">
            <v>139468057.97</v>
          </cell>
          <cell r="I15">
            <v>6889101.6014202908</v>
          </cell>
        </row>
        <row r="16">
          <cell r="F16">
            <v>1027352247.14</v>
          </cell>
          <cell r="I16">
            <v>5669272.280467568</v>
          </cell>
        </row>
      </sheetData>
      <sheetData sheetId="20">
        <row r="12">
          <cell r="F12">
            <v>0</v>
          </cell>
          <cell r="I12">
            <v>6861444.4528213693</v>
          </cell>
        </row>
        <row r="13">
          <cell r="F13">
            <v>0</v>
          </cell>
          <cell r="I13">
            <v>5909905.201901326</v>
          </cell>
        </row>
        <row r="14">
          <cell r="F14">
            <v>392902797.57999998</v>
          </cell>
          <cell r="I14">
            <v>6317850.2361193355</v>
          </cell>
        </row>
        <row r="15">
          <cell r="F15">
            <v>81531942.030000001</v>
          </cell>
          <cell r="I15">
            <v>4027315.1997338752</v>
          </cell>
        </row>
        <row r="16">
          <cell r="F16">
            <v>600582133.86000001</v>
          </cell>
          <cell r="I16">
            <v>3314212.4386841008</v>
          </cell>
        </row>
      </sheetData>
      <sheetData sheetId="21">
        <row r="12">
          <cell r="E12">
            <v>2913934381</v>
          </cell>
        </row>
      </sheetData>
      <sheetData sheetId="22"/>
      <sheetData sheetId="23">
        <row r="13">
          <cell r="E13">
            <v>825000000</v>
          </cell>
        </row>
      </sheetData>
      <sheetData sheetId="24">
        <row r="13">
          <cell r="E13">
            <v>825000000</v>
          </cell>
        </row>
      </sheetData>
      <sheetData sheetId="25">
        <row r="14">
          <cell r="E14">
            <v>1500000000</v>
          </cell>
        </row>
      </sheetData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rte $1000  ene 2015"/>
      <sheetName val="Banorte $1000  MAY 2015 (2)"/>
      <sheetName val="HSBC 300 feb2015"/>
      <sheetName val="HSBC 300 JULIO 2015 "/>
      <sheetName val="Interaciones 1000 mar 2015"/>
      <sheetName val="Interaciones 1000 jun 2015"/>
      <sheetName val="Interaciones 1000 mar 2015 (2)"/>
      <sheetName val="Interaciones 500 may 2015"/>
      <sheetName val="Interaciones 500 julio 30 2015 "/>
      <sheetName val="Interaciones 1000 SEP 2015 "/>
      <sheetName val="Interaciones 150  OCT 2015 "/>
      <sheetName val="Interaciones 350  OCT 2015"/>
      <sheetName val="Interaciones 1000 DIC 2015 "/>
      <sheetName val="BBVA 500 SEP 2015 "/>
      <sheetName val="2015"/>
      <sheetName val="Interaciones 1000 Ene 2016"/>
      <sheetName val="BBVA 500 marzo 2016"/>
      <sheetName val="HSBC 500 febrero 2016"/>
      <sheetName val="Banorte $1000  Feb 2016"/>
      <sheetName val="Interacciones 2914 Abril 2016"/>
      <sheetName val="Interaciones 434990 Abril 2016"/>
      <sheetName val="Interaciones 434988 Abril 2016"/>
      <sheetName val="Consolidado  2016"/>
      <sheetName val="Multiva $1800 "/>
      <sheetName val="Multiva $900  Octubre 2016"/>
      <sheetName val="Multiva $900  Noviembre 2016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M6">
            <v>7.8307256805305106E-2</v>
          </cell>
        </row>
      </sheetData>
      <sheetData sheetId="17">
        <row r="6">
          <cell r="M6">
            <v>4.0855401195830768E-2</v>
          </cell>
        </row>
      </sheetData>
      <sheetData sheetId="18">
        <row r="6">
          <cell r="M6">
            <v>5.1653956466718755E-2</v>
          </cell>
        </row>
      </sheetData>
      <sheetData sheetId="19">
        <row r="6">
          <cell r="G6">
            <v>2913934381</v>
          </cell>
          <cell r="M6">
            <v>0.17285508725696391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16 BBVA (2)"/>
      <sheetName val="2028 BBVA (3)"/>
      <sheetName val="1380 BBVA"/>
      <sheetName val="4500 Interacciones"/>
      <sheetName val="1400  Multiva"/>
      <sheetName val="Banorte 1,995mdp"/>
      <sheetName val="Banorte 1,320mdp"/>
      <sheetName val="Santander 1,000"/>
      <sheetName val="3000 Banobras"/>
      <sheetName val="Hoja3"/>
    </sheetNames>
    <sheetDataSet>
      <sheetData sheetId="0">
        <row r="23">
          <cell r="K23">
            <v>1697527720.1000001</v>
          </cell>
        </row>
        <row r="32">
          <cell r="K32">
            <v>1685255678.9800003</v>
          </cell>
        </row>
        <row r="33">
          <cell r="H33">
            <v>1453717.56</v>
          </cell>
          <cell r="I33">
            <v>6534110.7686674576</v>
          </cell>
        </row>
        <row r="34">
          <cell r="H34">
            <v>1472615.89</v>
          </cell>
          <cell r="I34">
            <v>7256227.6220477261</v>
          </cell>
        </row>
        <row r="35">
          <cell r="H35">
            <v>1491759.89</v>
          </cell>
          <cell r="I35">
            <v>7974507.4766252432</v>
          </cell>
        </row>
        <row r="36">
          <cell r="H36">
            <v>1511152.77</v>
          </cell>
          <cell r="I36">
            <v>9277186.5161116403</v>
          </cell>
        </row>
        <row r="37">
          <cell r="H37">
            <v>1530797.76</v>
          </cell>
          <cell r="I37">
            <v>7714405.8009965634</v>
          </cell>
        </row>
        <row r="38">
          <cell r="H38">
            <v>1550698.13</v>
          </cell>
          <cell r="I38">
            <v>8548242.9262128174</v>
          </cell>
        </row>
        <row r="39">
          <cell r="H39">
            <v>1570857.21</v>
          </cell>
          <cell r="I39">
            <v>7241266.3780911341</v>
          </cell>
        </row>
        <row r="40">
          <cell r="H40">
            <v>1591278.35</v>
          </cell>
          <cell r="I40">
            <v>8702811.3534478676</v>
          </cell>
        </row>
        <row r="41">
          <cell r="H41">
            <v>1611964.97</v>
          </cell>
          <cell r="I41">
            <v>8986313.6245158669</v>
          </cell>
        </row>
      </sheetData>
      <sheetData sheetId="1">
        <row r="23">
          <cell r="K23">
            <v>2006512804.3700001</v>
          </cell>
        </row>
        <row r="32">
          <cell r="K32">
            <v>1992006998.4700003</v>
          </cell>
        </row>
        <row r="33">
          <cell r="H33">
            <v>1718324.16</v>
          </cell>
          <cell r="I33">
            <v>7723453.8012900734</v>
          </cell>
        </row>
        <row r="34">
          <cell r="H34">
            <v>1740662.38</v>
          </cell>
          <cell r="I34">
            <v>8577010.8274476733</v>
          </cell>
        </row>
        <row r="35">
          <cell r="H35">
            <v>1763290.99</v>
          </cell>
          <cell r="I35">
            <v>9426032.4399834219</v>
          </cell>
        </row>
        <row r="36">
          <cell r="H36">
            <v>1786213.77</v>
          </cell>
          <cell r="I36">
            <v>10965825.955458431</v>
          </cell>
        </row>
        <row r="37">
          <cell r="H37">
            <v>1809434.55</v>
          </cell>
          <cell r="I37">
            <v>9118586.8923121877</v>
          </cell>
        </row>
        <row r="38">
          <cell r="H38">
            <v>1832957.2</v>
          </cell>
          <cell r="I38">
            <v>10104199.585818455</v>
          </cell>
        </row>
        <row r="39">
          <cell r="H39">
            <v>1856785.64</v>
          </cell>
          <cell r="I39">
            <v>8559326.3282067049</v>
          </cell>
        </row>
        <row r="40">
          <cell r="H40">
            <v>1880923.86</v>
          </cell>
          <cell r="I40">
            <v>10286902.657332473</v>
          </cell>
        </row>
        <row r="41">
          <cell r="H41">
            <v>1905375.87</v>
          </cell>
          <cell r="I41">
            <v>10622008.193574756</v>
          </cell>
        </row>
      </sheetData>
      <sheetData sheetId="2">
        <row r="23">
          <cell r="K23">
            <v>1365053583.2700002</v>
          </cell>
        </row>
        <row r="32">
          <cell r="K32">
            <v>1355185117.7999997</v>
          </cell>
        </row>
        <row r="33">
          <cell r="H33">
            <v>1168995.56</v>
          </cell>
          <cell r="I33">
            <v>5254353.8539589997</v>
          </cell>
        </row>
        <row r="34">
          <cell r="H34">
            <v>1184192.5</v>
          </cell>
          <cell r="I34">
            <v>5835038.4498959007</v>
          </cell>
        </row>
        <row r="35">
          <cell r="H35">
            <v>1199587</v>
          </cell>
          <cell r="I35">
            <v>6412637.5553564746</v>
          </cell>
        </row>
        <row r="36">
          <cell r="H36">
            <v>1215181.6299999999</v>
          </cell>
          <cell r="I36">
            <v>7460176.6714024292</v>
          </cell>
        </row>
        <row r="37">
          <cell r="H37">
            <v>1230979</v>
          </cell>
          <cell r="I37">
            <v>6203478.8338490603</v>
          </cell>
        </row>
        <row r="38">
          <cell r="H38">
            <v>1246981.72</v>
          </cell>
          <cell r="I38">
            <v>6874002.4088867903</v>
          </cell>
        </row>
        <row r="39">
          <cell r="H39">
            <v>1263192.48</v>
          </cell>
          <cell r="I39">
            <v>5823007.483071438</v>
          </cell>
        </row>
        <row r="40">
          <cell r="H40">
            <v>1279613.99</v>
          </cell>
          <cell r="I40">
            <v>6998297.3956727162</v>
          </cell>
        </row>
        <row r="41">
          <cell r="H41">
            <v>1296248.97</v>
          </cell>
          <cell r="I41">
            <v>7226273.5202325312</v>
          </cell>
        </row>
      </sheetData>
      <sheetData sheetId="3">
        <row r="23">
          <cell r="K23">
            <v>4451261684.6100006</v>
          </cell>
        </row>
        <row r="32">
          <cell r="K32">
            <v>4419081905.9400005</v>
          </cell>
        </row>
        <row r="33">
          <cell r="H33">
            <v>3811942.04</v>
          </cell>
          <cell r="I33">
            <v>18336734.924147695</v>
          </cell>
        </row>
        <row r="34">
          <cell r="H34">
            <v>3861497.28</v>
          </cell>
          <cell r="I34">
            <v>20358012.482021641</v>
          </cell>
        </row>
        <row r="35">
          <cell r="H35">
            <v>3911696.76</v>
          </cell>
          <cell r="I35">
            <v>22957753.920684554</v>
          </cell>
        </row>
        <row r="36">
          <cell r="H36">
            <v>3962548.81</v>
          </cell>
          <cell r="I36">
            <v>20113758.275815111</v>
          </cell>
        </row>
        <row r="37">
          <cell r="H37">
            <v>4014061.94</v>
          </cell>
          <cell r="I37">
            <v>21513099.295754686</v>
          </cell>
        </row>
        <row r="38">
          <cell r="H38">
            <v>4066244.76</v>
          </cell>
          <cell r="I38">
            <v>23826737.884367984</v>
          </cell>
        </row>
        <row r="39">
          <cell r="H39">
            <v>4119105.92</v>
          </cell>
          <cell r="I39">
            <v>20526476.879753545</v>
          </cell>
        </row>
        <row r="40">
          <cell r="H40">
            <v>4172654.3</v>
          </cell>
          <cell r="I40">
            <v>24144034.424685724</v>
          </cell>
        </row>
        <row r="41">
          <cell r="H41">
            <v>4226898.8099999996</v>
          </cell>
          <cell r="I41">
            <v>24928830.4046898</v>
          </cell>
        </row>
      </sheetData>
      <sheetData sheetId="4">
        <row r="24">
          <cell r="K24">
            <v>1375167042.79</v>
          </cell>
        </row>
        <row r="33">
          <cell r="K33">
            <v>1358770926.9099998</v>
          </cell>
        </row>
        <row r="34">
          <cell r="H34">
            <v>1942245.9</v>
          </cell>
          <cell r="I34">
            <v>5845915.6461186102</v>
          </cell>
        </row>
        <row r="35">
          <cell r="H35">
            <v>1967495.11</v>
          </cell>
          <cell r="I35">
            <v>6496194.2171912091</v>
          </cell>
        </row>
        <row r="36">
          <cell r="H36">
            <v>1993072.53</v>
          </cell>
          <cell r="I36">
            <v>7286985.4022445595</v>
          </cell>
        </row>
        <row r="37">
          <cell r="H37">
            <v>2018982.48</v>
          </cell>
          <cell r="I37">
            <v>6381779.5281248158</v>
          </cell>
        </row>
        <row r="38">
          <cell r="H38">
            <v>2045229.25</v>
          </cell>
          <cell r="I38">
            <v>6827416.6490398739</v>
          </cell>
        </row>
        <row r="39">
          <cell r="H39">
            <v>2071817.23</v>
          </cell>
          <cell r="I39">
            <v>7534148.8337807115</v>
          </cell>
        </row>
        <row r="40">
          <cell r="H40">
            <v>2098750.86</v>
          </cell>
          <cell r="I40">
            <v>6388971.8268901724</v>
          </cell>
        </row>
        <row r="41">
          <cell r="H41">
            <v>2126034.62</v>
          </cell>
          <cell r="I41">
            <v>7740882.2869880619</v>
          </cell>
        </row>
        <row r="42">
          <cell r="H42">
            <v>2153673.06</v>
          </cell>
          <cell r="I42">
            <v>7870076.121282978</v>
          </cell>
        </row>
      </sheetData>
      <sheetData sheetId="5">
        <row r="11">
          <cell r="K11">
            <v>1990152693.5399997</v>
          </cell>
        </row>
        <row r="20">
          <cell r="K20">
            <v>1977933813.9899998</v>
          </cell>
        </row>
        <row r="21">
          <cell r="H21">
            <v>1447420.17</v>
          </cell>
          <cell r="I21">
            <v>7515049.6410431154</v>
          </cell>
        </row>
        <row r="22">
          <cell r="H22">
            <v>1466236.63</v>
          </cell>
          <cell r="I22">
            <v>8347333.4186998848</v>
          </cell>
        </row>
        <row r="23">
          <cell r="H23">
            <v>1485297.7</v>
          </cell>
          <cell r="I23">
            <v>9191837.0764030162</v>
          </cell>
        </row>
        <row r="24">
          <cell r="H24">
            <v>1504606.57</v>
          </cell>
          <cell r="I24">
            <v>10733715.697457189</v>
          </cell>
        </row>
        <row r="25">
          <cell r="H25">
            <v>1524166.46</v>
          </cell>
          <cell r="I25">
            <v>8894678.1199412495</v>
          </cell>
        </row>
        <row r="26">
          <cell r="H26">
            <v>1543980.62</v>
          </cell>
          <cell r="I26">
            <v>9858950.997965049</v>
          </cell>
        </row>
        <row r="27">
          <cell r="H27">
            <v>1564052.37</v>
          </cell>
          <cell r="I27">
            <v>8352643.5259675197</v>
          </cell>
        </row>
        <row r="28">
          <cell r="H28">
            <v>1584385.05</v>
          </cell>
          <cell r="I28">
            <v>10054600.877047559</v>
          </cell>
        </row>
        <row r="29">
          <cell r="H29">
            <v>1604982.06</v>
          </cell>
          <cell r="I29">
            <v>10383864.64407631</v>
          </cell>
        </row>
      </sheetData>
      <sheetData sheetId="6">
        <row r="7">
          <cell r="K7">
            <v>1320276000</v>
          </cell>
        </row>
        <row r="8">
          <cell r="K8">
            <v>1319466228.72</v>
          </cell>
        </row>
        <row r="9">
          <cell r="H9">
            <v>820298.31</v>
          </cell>
          <cell r="I9">
            <v>6706553.625866266</v>
          </cell>
        </row>
        <row r="10">
          <cell r="H10">
            <v>830962.18</v>
          </cell>
          <cell r="I10">
            <v>7442639.0910289623</v>
          </cell>
        </row>
        <row r="11">
          <cell r="H11">
            <v>841764.69</v>
          </cell>
          <cell r="I11">
            <v>8263812.6723308275</v>
          </cell>
        </row>
        <row r="12">
          <cell r="H12">
            <v>852707.63</v>
          </cell>
          <cell r="I12">
            <v>6322466.4334124532</v>
          </cell>
        </row>
        <row r="13">
          <cell r="H13">
            <v>863792.83</v>
          </cell>
          <cell r="I13">
            <v>5716898.4041090626</v>
          </cell>
        </row>
        <row r="14">
          <cell r="H14">
            <v>875022.14</v>
          </cell>
          <cell r="I14">
            <v>6339438.6645928686</v>
          </cell>
        </row>
        <row r="15">
          <cell r="H15">
            <v>886397.43</v>
          </cell>
          <cell r="I15">
            <v>5371352.1773294015</v>
          </cell>
        </row>
        <row r="16">
          <cell r="H16">
            <v>897920.59</v>
          </cell>
          <cell r="I16">
            <v>6486546.855095733</v>
          </cell>
        </row>
        <row r="17">
          <cell r="H17">
            <v>909593.56</v>
          </cell>
          <cell r="I17">
            <v>6700080.3169494215</v>
          </cell>
        </row>
      </sheetData>
      <sheetData sheetId="7">
        <row r="11">
          <cell r="K11">
            <v>997498404.52999985</v>
          </cell>
        </row>
        <row r="20">
          <cell r="K20">
            <v>991374094.12999976</v>
          </cell>
        </row>
        <row r="21">
          <cell r="H21">
            <v>725471.62</v>
          </cell>
          <cell r="I21">
            <v>3381136.4243689268</v>
          </cell>
        </row>
        <row r="22">
          <cell r="H22">
            <v>734902.76</v>
          </cell>
          <cell r="I22">
            <v>3757296.3220334481</v>
          </cell>
        </row>
        <row r="23">
          <cell r="H23">
            <v>744456.49</v>
          </cell>
          <cell r="I23">
            <v>4315759.8411180666</v>
          </cell>
        </row>
        <row r="24">
          <cell r="H24">
            <v>754134.43</v>
          </cell>
          <cell r="I24">
            <v>3783220.7273425623</v>
          </cell>
        </row>
        <row r="25">
          <cell r="H25">
            <v>763938.17</v>
          </cell>
          <cell r="I25">
            <v>4046324.4336478119</v>
          </cell>
        </row>
        <row r="26">
          <cell r="H26">
            <v>773869.37</v>
          </cell>
          <cell r="I26">
            <v>4488800.587710401</v>
          </cell>
        </row>
        <row r="27">
          <cell r="H27">
            <v>783929.67</v>
          </cell>
          <cell r="I27">
            <v>3802701.4862160464</v>
          </cell>
        </row>
        <row r="28">
          <cell r="H28">
            <v>794120.76</v>
          </cell>
          <cell r="I28">
            <v>4614969.1165994909</v>
          </cell>
        </row>
        <row r="29">
          <cell r="H29">
            <v>804444.33</v>
          </cell>
          <cell r="I29">
            <v>4766658.9170271549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11">
          <cell r="K11">
            <v>4691970146.1199999</v>
          </cell>
        </row>
        <row r="20">
          <cell r="K20">
            <v>4656953230.5700006</v>
          </cell>
        </row>
        <row r="21">
          <cell r="E21">
            <v>4008422.4</v>
          </cell>
          <cell r="I21">
            <v>25816014.273382738</v>
          </cell>
        </row>
        <row r="22">
          <cell r="E22">
            <v>4032472.93</v>
          </cell>
          <cell r="I22">
            <v>21137165.027314272</v>
          </cell>
        </row>
        <row r="23">
          <cell r="E23">
            <v>4056667.77</v>
          </cell>
          <cell r="I23">
            <v>26221557.25829782</v>
          </cell>
        </row>
        <row r="24">
          <cell r="E24">
            <v>4081007.77</v>
          </cell>
          <cell r="I24">
            <v>27105313.295058273</v>
          </cell>
        </row>
        <row r="25">
          <cell r="E25">
            <v>4105493.82</v>
          </cell>
          <cell r="I25">
            <v>24544477.078320835</v>
          </cell>
        </row>
        <row r="26">
          <cell r="E26">
            <v>4130126.78</v>
          </cell>
          <cell r="I26">
            <v>25490088.739425302</v>
          </cell>
        </row>
        <row r="27">
          <cell r="E27">
            <v>4154907.54</v>
          </cell>
          <cell r="I27">
            <v>27225328.987478726</v>
          </cell>
        </row>
        <row r="28">
          <cell r="E28">
            <v>4179836.99</v>
          </cell>
          <cell r="I28">
            <v>27326751.310085502</v>
          </cell>
        </row>
        <row r="29">
          <cell r="E29">
            <v>4204916.01</v>
          </cell>
          <cell r="I29">
            <v>27340607.891645126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  <sheetName val="1160 inbursa 2014-2016"/>
      <sheetName val="Tabla de amortización Inbursa 1"/>
    </sheetNames>
    <sheetDataSet>
      <sheetData sheetId="0"/>
      <sheetData sheetId="1"/>
      <sheetData sheetId="2">
        <row r="9">
          <cell r="K9">
            <v>990046030.19000006</v>
          </cell>
        </row>
        <row r="18">
          <cell r="K18">
            <v>982657160.01999986</v>
          </cell>
        </row>
        <row r="19">
          <cell r="E19">
            <v>845811.58</v>
          </cell>
          <cell r="I19">
            <v>5447400.910619203</v>
          </cell>
        </row>
        <row r="20">
          <cell r="E20">
            <v>850886.45</v>
          </cell>
          <cell r="I20">
            <v>4460123.5031258091</v>
          </cell>
        </row>
        <row r="21">
          <cell r="E21">
            <v>855991.77</v>
          </cell>
          <cell r="I21">
            <v>5532973.9662361573</v>
          </cell>
        </row>
        <row r="22">
          <cell r="E22">
            <v>861127.72</v>
          </cell>
          <cell r="I22">
            <v>5719454.0862171557</v>
          </cell>
        </row>
        <row r="23">
          <cell r="E23">
            <v>866294.48</v>
          </cell>
          <cell r="I23">
            <v>5179095.6330646863</v>
          </cell>
        </row>
        <row r="24">
          <cell r="E24">
            <v>871492.25</v>
          </cell>
          <cell r="I24">
            <v>5378627.8214899488</v>
          </cell>
        </row>
        <row r="25">
          <cell r="E25">
            <v>876721.2</v>
          </cell>
          <cell r="I25">
            <v>5744778.4289146047</v>
          </cell>
        </row>
        <row r="26">
          <cell r="E26">
            <v>881981.53</v>
          </cell>
          <cell r="I26">
            <v>5766179.4107737057</v>
          </cell>
        </row>
        <row r="27">
          <cell r="E27">
            <v>887273.42</v>
          </cell>
          <cell r="I27">
            <v>5769103.2685989989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BC 416'136"/>
      <sheetName val="Santander 416'136"/>
      <sheetName val="ESTIMACION 2016"/>
      <sheetName val="Tabla de amortización contingen"/>
    </sheetNames>
    <sheetDataSet>
      <sheetData sheetId="0">
        <row r="75">
          <cell r="L75">
            <v>317437076.98000079</v>
          </cell>
        </row>
        <row r="76">
          <cell r="J76">
            <v>1476082.4079570037</v>
          </cell>
        </row>
        <row r="77">
          <cell r="J77">
            <v>1416462.9233400039</v>
          </cell>
        </row>
        <row r="78">
          <cell r="J78">
            <v>1404459.0002700039</v>
          </cell>
          <cell r="L78">
            <v>309434461.60000086</v>
          </cell>
        </row>
        <row r="79">
          <cell r="J79">
            <v>1438870.2464400041</v>
          </cell>
        </row>
        <row r="80">
          <cell r="J80">
            <v>1288421.0771880038</v>
          </cell>
        </row>
        <row r="81">
          <cell r="J81">
            <v>1505291.9541660044</v>
          </cell>
          <cell r="L81">
            <v>301431846.22000092</v>
          </cell>
        </row>
        <row r="84">
          <cell r="L84">
            <v>293429230.84000099</v>
          </cell>
        </row>
      </sheetData>
      <sheetData sheetId="1">
        <row r="74">
          <cell r="L74">
            <v>320104615.44000077</v>
          </cell>
        </row>
        <row r="75">
          <cell r="J75">
            <v>1394233.4361386702</v>
          </cell>
        </row>
        <row r="76">
          <cell r="J76">
            <v>1339408.1109239478</v>
          </cell>
        </row>
        <row r="77">
          <cell r="J77">
            <v>1199621.6856928922</v>
          </cell>
          <cell r="L77">
            <v>312102000.06000084</v>
          </cell>
        </row>
        <row r="78">
          <cell r="J78">
            <v>1359377.6002613371</v>
          </cell>
        </row>
        <row r="79">
          <cell r="J79">
            <v>1263524.0515333372</v>
          </cell>
        </row>
        <row r="80">
          <cell r="J80">
            <v>1210877.2160609481</v>
          </cell>
          <cell r="L80">
            <v>304099384.6800009</v>
          </cell>
        </row>
        <row r="83">
          <cell r="L83">
            <v>296096769.30000097</v>
          </cell>
        </row>
      </sheetData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ursa 5532 mdp"/>
      <sheetName val="Inbursa 468 mdp"/>
      <sheetName val="Inbursa 6000 mdp "/>
      <sheetName val="Hoja2"/>
      <sheetName val="Hoja3"/>
    </sheetNames>
    <sheetDataSet>
      <sheetData sheetId="0"/>
      <sheetData sheetId="1"/>
      <sheetData sheetId="2">
        <row r="8">
          <cell r="I8">
            <v>0</v>
          </cell>
          <cell r="L8">
            <v>10963676.5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0634"/>
      <sheetName val="Hoja1"/>
    </sheetNames>
    <sheetDataSet>
      <sheetData sheetId="0">
        <row r="28">
          <cell r="N28">
            <v>2625149999</v>
          </cell>
        </row>
        <row r="29">
          <cell r="H29">
            <v>34200000.00000003</v>
          </cell>
          <cell r="L29">
            <v>33643484.862184167</v>
          </cell>
        </row>
        <row r="30">
          <cell r="H30">
            <v>35550000.00000003</v>
          </cell>
          <cell r="L30">
            <v>37211799.652304448</v>
          </cell>
        </row>
        <row r="31">
          <cell r="H31">
            <v>36900000.000000015</v>
          </cell>
          <cell r="L31">
            <v>37354269.318715557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bras 1020"/>
      <sheetName val="Banobras 1200"/>
      <sheetName val="Banobras 636.92"/>
      <sheetName val="Banobras 140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  <sheetName val="Hoja1"/>
    </sheetNames>
    <sheetDataSet>
      <sheetData sheetId="0">
        <row r="31">
          <cell r="I31">
            <v>310173840</v>
          </cell>
        </row>
        <row r="40">
          <cell r="J40">
            <v>722585340</v>
          </cell>
        </row>
        <row r="41">
          <cell r="G41">
            <v>7674149.9999999991</v>
          </cell>
        </row>
        <row r="42">
          <cell r="G42">
            <v>6278850</v>
          </cell>
        </row>
        <row r="43">
          <cell r="G43">
            <v>7209049.9999999991</v>
          </cell>
          <cell r="J43">
            <v>702251640</v>
          </cell>
        </row>
        <row r="44">
          <cell r="G44">
            <v>7441599.9999999991</v>
          </cell>
        </row>
        <row r="45">
          <cell r="G45">
            <v>6743949.9999999991</v>
          </cell>
        </row>
        <row r="46">
          <cell r="G46">
            <v>6976499.9999999981</v>
          </cell>
          <cell r="J46">
            <v>685377780</v>
          </cell>
        </row>
        <row r="47">
          <cell r="G47">
            <v>7441600.0099999988</v>
          </cell>
        </row>
        <row r="48">
          <cell r="G48">
            <v>6976499.9999999981</v>
          </cell>
        </row>
        <row r="49">
          <cell r="G49">
            <v>6976499.9999999981</v>
          </cell>
          <cell r="J49">
            <v>1020000000</v>
          </cell>
        </row>
      </sheetData>
      <sheetData sheetId="1">
        <row r="45">
          <cell r="L45">
            <v>383161200</v>
          </cell>
        </row>
        <row r="54">
          <cell r="M54">
            <v>828648000</v>
          </cell>
        </row>
        <row r="56">
          <cell r="I56">
            <v>9933000</v>
          </cell>
        </row>
        <row r="57">
          <cell r="I57">
            <v>8428000</v>
          </cell>
          <cell r="M57">
            <v>804408000</v>
          </cell>
        </row>
        <row r="58">
          <cell r="I58">
            <v>9030000</v>
          </cell>
        </row>
        <row r="59">
          <cell r="I59">
            <v>9030000</v>
          </cell>
        </row>
        <row r="60">
          <cell r="I60">
            <v>9331000</v>
          </cell>
          <cell r="M60">
            <v>785726400</v>
          </cell>
        </row>
        <row r="61">
          <cell r="I61">
            <v>9030000</v>
          </cell>
        </row>
        <row r="62">
          <cell r="I62">
            <v>9933000</v>
          </cell>
        </row>
        <row r="63">
          <cell r="I63">
            <v>8729000</v>
          </cell>
          <cell r="M63">
            <v>1200000000</v>
          </cell>
        </row>
      </sheetData>
      <sheetData sheetId="2">
        <row r="42">
          <cell r="I42">
            <v>637014515</v>
          </cell>
        </row>
        <row r="43">
          <cell r="H43">
            <v>4207313.2955413889</v>
          </cell>
        </row>
        <row r="44">
          <cell r="H44">
            <v>4497472.8224752788</v>
          </cell>
        </row>
        <row r="45">
          <cell r="H45">
            <v>4642552.6009422224</v>
          </cell>
          <cell r="I45">
            <v>637014515</v>
          </cell>
        </row>
        <row r="46">
          <cell r="H46">
            <v>4062233.5270744446</v>
          </cell>
        </row>
        <row r="47">
          <cell r="H47">
            <v>4352393.0640083337</v>
          </cell>
        </row>
        <row r="48">
          <cell r="H48">
            <v>4642552.5909422226</v>
          </cell>
          <cell r="I48">
            <v>637014515</v>
          </cell>
        </row>
        <row r="49">
          <cell r="H49">
            <v>4207313.2755413894</v>
          </cell>
        </row>
        <row r="50">
          <cell r="H50">
            <v>4497472.8324752785</v>
          </cell>
        </row>
        <row r="51">
          <cell r="H51">
            <v>4497472.8224752788</v>
          </cell>
          <cell r="I51">
            <v>637014515</v>
          </cell>
        </row>
      </sheetData>
      <sheetData sheetId="3">
        <row r="40">
          <cell r="K40">
            <v>457696400</v>
          </cell>
        </row>
        <row r="49">
          <cell r="L49">
            <v>954083200</v>
          </cell>
        </row>
        <row r="50">
          <cell r="H50">
            <v>11506990.607445467</v>
          </cell>
        </row>
        <row r="51">
          <cell r="H51">
            <v>11506990.607445467</v>
          </cell>
        </row>
        <row r="52">
          <cell r="H52">
            <v>10764604.116642533</v>
          </cell>
          <cell r="L52">
            <v>925601600</v>
          </cell>
        </row>
        <row r="53">
          <cell r="H53">
            <v>11506990.607445467</v>
          </cell>
        </row>
        <row r="54">
          <cell r="H54">
            <v>11506990.617445467</v>
          </cell>
        </row>
        <row r="55">
          <cell r="H55">
            <v>11135797.362043999</v>
          </cell>
          <cell r="L55">
            <v>904488200</v>
          </cell>
        </row>
        <row r="56">
          <cell r="H56">
            <v>11135797.362043999</v>
          </cell>
        </row>
        <row r="57">
          <cell r="H57">
            <v>11506990.607445467</v>
          </cell>
        </row>
        <row r="58">
          <cell r="H58">
            <v>11506990.607445467</v>
          </cell>
          <cell r="L58">
            <v>1400000000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OZCO"/>
      <sheetName val="EVERCORE"/>
      <sheetName val="Credito Corto Plazo"/>
      <sheetName val="BANORTE ARRENDAMIENTO"/>
      <sheetName val="FITCH y Calificadoras"/>
      <sheetName val="DELOITTE"/>
      <sheetName val="COFIAZA"/>
      <sheetName val="Nacional FIN"/>
      <sheetName val="Nacional FIN (2)"/>
      <sheetName val="INVEX HON 80634 (3)"/>
      <sheetName val="cuentas"/>
      <sheetName val="Hoja1"/>
      <sheetName val="Notaria 246"/>
    </sheetNames>
    <sheetDataSet>
      <sheetData sheetId="0"/>
      <sheetData sheetId="1"/>
      <sheetData sheetId="2">
        <row r="72">
          <cell r="I72">
            <v>7956.44</v>
          </cell>
        </row>
        <row r="73">
          <cell r="I73">
            <v>7956.44</v>
          </cell>
        </row>
        <row r="82">
          <cell r="I82">
            <v>8820.93</v>
          </cell>
        </row>
        <row r="83">
          <cell r="I83">
            <v>7956.44</v>
          </cell>
        </row>
        <row r="84">
          <cell r="I84">
            <v>8764.84</v>
          </cell>
        </row>
        <row r="85">
          <cell r="I85">
            <v>9307.06</v>
          </cell>
        </row>
        <row r="86">
          <cell r="I86">
            <v>9432.81</v>
          </cell>
        </row>
        <row r="87">
          <cell r="I87">
            <v>9357.23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72"/>
  <sheetViews>
    <sheetView showGridLines="0" zoomScale="70" zoomScaleNormal="70" workbookViewId="0">
      <pane xSplit="5" ySplit="6" topLeftCell="F7" activePane="bottomRight" state="frozen"/>
      <selection activeCell="L57" sqref="L57:L60"/>
      <selection pane="topRight" activeCell="L57" sqref="L57:L60"/>
      <selection pane="bottomLeft" activeCell="L57" sqref="L57:L60"/>
      <selection pane="bottomRight" activeCell="L57" sqref="L57:L60"/>
    </sheetView>
  </sheetViews>
  <sheetFormatPr baseColWidth="10" defaultRowHeight="15" outlineLevelRow="1" x14ac:dyDescent="0.25"/>
  <cols>
    <col min="1" max="1" width="3.140625" customWidth="1"/>
    <col min="2" max="2" width="3.42578125" customWidth="1"/>
    <col min="3" max="3" width="2.7109375" customWidth="1"/>
    <col min="4" max="4" width="4.140625" customWidth="1"/>
    <col min="5" max="5" width="30" customWidth="1"/>
    <col min="6" max="9" width="24.28515625" customWidth="1"/>
    <col min="10" max="10" width="21.140625" customWidth="1"/>
    <col min="11" max="11" width="21.7109375" customWidth="1"/>
    <col min="12" max="12" width="24.28515625" customWidth="1"/>
    <col min="13" max="13" width="4.5703125" customWidth="1"/>
  </cols>
  <sheetData>
    <row r="1" spans="1:12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8.75" x14ac:dyDescent="0.25">
      <c r="B2" s="165" t="s">
        <v>50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s="1" customFormat="1" ht="17.25" x14ac:dyDescent="0.25">
      <c r="B3" s="166" t="s">
        <v>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1" customFormat="1" ht="15.75" x14ac:dyDescent="0.25">
      <c r="B4" s="167" t="s">
        <v>95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1" customFormat="1" x14ac:dyDescent="0.25">
      <c r="B5" s="168" t="s">
        <v>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67.5" customHeight="1" x14ac:dyDescent="0.25">
      <c r="B6" s="169" t="s">
        <v>9</v>
      </c>
      <c r="C6" s="170"/>
      <c r="D6" s="170"/>
      <c r="E6" s="170"/>
      <c r="F6" s="58" t="s">
        <v>51</v>
      </c>
      <c r="G6" s="58" t="s">
        <v>11</v>
      </c>
      <c r="H6" s="58" t="s">
        <v>12</v>
      </c>
      <c r="I6" s="58" t="s">
        <v>13</v>
      </c>
      <c r="J6" s="58" t="s">
        <v>14</v>
      </c>
      <c r="K6" s="58" t="s">
        <v>15</v>
      </c>
      <c r="L6" s="58" t="s">
        <v>16</v>
      </c>
    </row>
    <row r="7" spans="1:12" x14ac:dyDescent="0.25">
      <c r="B7" s="54" t="s">
        <v>5</v>
      </c>
      <c r="C7" s="55"/>
      <c r="D7" s="55"/>
      <c r="E7" s="55"/>
      <c r="F7" s="56">
        <f t="shared" ref="F7:L7" si="0">SUM(F8,F26)</f>
        <v>21738685155.529999</v>
      </c>
      <c r="G7" s="56">
        <f t="shared" si="0"/>
        <v>2000000000</v>
      </c>
      <c r="H7" s="56">
        <f t="shared" si="0"/>
        <v>871094825.65999997</v>
      </c>
      <c r="I7" s="56">
        <f t="shared" si="0"/>
        <v>0</v>
      </c>
      <c r="J7" s="56">
        <f t="shared" si="0"/>
        <v>22867590329.869999</v>
      </c>
      <c r="K7" s="56">
        <f t="shared" si="0"/>
        <v>316781085.84510529</v>
      </c>
      <c r="L7" s="57">
        <f t="shared" si="0"/>
        <v>31900000</v>
      </c>
    </row>
    <row r="8" spans="1:12" x14ac:dyDescent="0.25">
      <c r="B8" s="38"/>
      <c r="C8" s="32" t="s">
        <v>6</v>
      </c>
      <c r="D8" s="35"/>
      <c r="E8" s="35"/>
      <c r="F8" s="36">
        <f t="shared" ref="F8:L8" si="1">SUM(F9,F22,F24)</f>
        <v>1000000000</v>
      </c>
      <c r="G8" s="37">
        <f t="shared" si="1"/>
        <v>2000000000</v>
      </c>
      <c r="H8" s="37">
        <f t="shared" si="1"/>
        <v>816666666.65999997</v>
      </c>
      <c r="I8" s="37">
        <f t="shared" si="1"/>
        <v>0</v>
      </c>
      <c r="J8" s="37">
        <f t="shared" si="1"/>
        <v>2183333333.3400002</v>
      </c>
      <c r="K8" s="37">
        <f t="shared" si="1"/>
        <v>22969463.405555557</v>
      </c>
      <c r="L8" s="45">
        <f t="shared" si="1"/>
        <v>31900000</v>
      </c>
    </row>
    <row r="9" spans="1:12" x14ac:dyDescent="0.25">
      <c r="B9" s="39"/>
      <c r="C9" s="30"/>
      <c r="D9" s="31" t="s">
        <v>53</v>
      </c>
      <c r="E9" s="26"/>
      <c r="F9" s="27">
        <f>SUM(F10,F14,F16,F18,F20)</f>
        <v>1000000000</v>
      </c>
      <c r="G9" s="28">
        <f>SUM(G10,G14,G16,G18,G20)</f>
        <v>2000000000</v>
      </c>
      <c r="H9" s="28">
        <f>SUM(H10,H14,H16,H18,H20)</f>
        <v>816666666.65999997</v>
      </c>
      <c r="I9" s="28">
        <f>SUM(I10,I14,I16,I18,I20)</f>
        <v>0</v>
      </c>
      <c r="J9" s="28">
        <f>F9+G9-H9+I9</f>
        <v>2183333333.3400002</v>
      </c>
      <c r="K9" s="28">
        <f>SUM(K10,K14,K16,K18,K20)</f>
        <v>22969463.405555557</v>
      </c>
      <c r="L9" s="29">
        <f>SUM(L10,L14,L16,L18,L20)</f>
        <v>31900000</v>
      </c>
    </row>
    <row r="10" spans="1:12" x14ac:dyDescent="0.25">
      <c r="B10" s="14"/>
      <c r="C10" s="15"/>
      <c r="D10" s="13"/>
      <c r="E10" s="16" t="s">
        <v>57</v>
      </c>
      <c r="F10" s="44">
        <f>SUM(F11:F$13)</f>
        <v>1000000000</v>
      </c>
      <c r="G10" s="44">
        <f>SUM(G11:G$13)</f>
        <v>0</v>
      </c>
      <c r="H10" s="44">
        <f>SUM(H11:H$13)</f>
        <v>400000000</v>
      </c>
      <c r="I10" s="76">
        <f>SUM(I11:I$13)</f>
        <v>0</v>
      </c>
      <c r="J10" s="44">
        <f>+F10+G10-H10+I10</f>
        <v>600000000</v>
      </c>
      <c r="K10" s="44">
        <f>SUM(K11:K$13)</f>
        <v>12082191.181111112</v>
      </c>
      <c r="L10" s="46">
        <f>SUM(L11:L$13)</f>
        <v>14499999.999999998</v>
      </c>
    </row>
    <row r="11" spans="1:12" hidden="1" outlineLevel="1" x14ac:dyDescent="0.25">
      <c r="B11" s="14"/>
      <c r="C11" s="15"/>
      <c r="D11" s="13"/>
      <c r="E11" s="16"/>
      <c r="F11" s="44">
        <v>1000000000</v>
      </c>
      <c r="G11" s="44"/>
      <c r="H11" s="44">
        <f>SUM('[1]Interaciones 1000 Ene 2016'!$F$15:$F$17)</f>
        <v>400000000</v>
      </c>
      <c r="I11" s="44">
        <v>0</v>
      </c>
      <c r="J11" s="44">
        <f t="shared" ref="J11:J18" si="2">+F11+G11-H11+I11</f>
        <v>600000000</v>
      </c>
      <c r="K11" s="44">
        <f>SUM('[1]Interaciones 1000 Ene 2016'!$I$15:$I$17)</f>
        <v>12082191.181111112</v>
      </c>
      <c r="L11" s="46">
        <f>12500000*1.16</f>
        <v>14499999.999999998</v>
      </c>
    </row>
    <row r="12" spans="1:12" hidden="1" outlineLevel="1" x14ac:dyDescent="0.25">
      <c r="B12" s="14"/>
      <c r="C12" s="15"/>
      <c r="D12" s="13"/>
      <c r="E12" s="16"/>
      <c r="F12" s="44"/>
      <c r="G12" s="44"/>
      <c r="H12" s="44"/>
      <c r="I12" s="44"/>
      <c r="J12" s="44"/>
      <c r="K12" s="44"/>
      <c r="L12" s="164"/>
    </row>
    <row r="13" spans="1:12" hidden="1" outlineLevel="1" x14ac:dyDescent="0.25">
      <c r="B13" s="14"/>
      <c r="C13" s="15"/>
      <c r="D13" s="13"/>
      <c r="E13" s="47"/>
      <c r="F13" s="44"/>
      <c r="G13" s="44"/>
      <c r="H13" s="44"/>
      <c r="I13" s="44"/>
      <c r="J13" s="44"/>
      <c r="K13" s="44"/>
      <c r="L13" s="164"/>
    </row>
    <row r="14" spans="1:12" collapsed="1" x14ac:dyDescent="0.25">
      <c r="B14" s="14"/>
      <c r="C14" s="15"/>
      <c r="D14" s="13"/>
      <c r="E14" s="12" t="s">
        <v>58</v>
      </c>
      <c r="F14" s="44">
        <f>SUM(F15:F15)</f>
        <v>0</v>
      </c>
      <c r="G14" s="44">
        <f t="shared" ref="G14:L14" si="3">SUM(G15:G15)</f>
        <v>500000000</v>
      </c>
      <c r="H14" s="44">
        <f t="shared" si="3"/>
        <v>0</v>
      </c>
      <c r="I14" s="20">
        <f>SUM(I15:I15)</f>
        <v>0</v>
      </c>
      <c r="J14" s="20">
        <f t="shared" si="2"/>
        <v>500000000</v>
      </c>
      <c r="K14" s="44">
        <f t="shared" si="3"/>
        <v>2441477.777777778</v>
      </c>
      <c r="L14" s="46">
        <f t="shared" si="3"/>
        <v>0</v>
      </c>
    </row>
    <row r="15" spans="1:12" hidden="1" outlineLevel="1" x14ac:dyDescent="0.25">
      <c r="B15" s="14"/>
      <c r="C15" s="15"/>
      <c r="D15" s="13"/>
      <c r="E15" s="12"/>
      <c r="F15" s="44"/>
      <c r="G15" s="44">
        <v>500000000</v>
      </c>
      <c r="H15" s="44">
        <f>'[1]HSBC 500 febrero 2016'!$F$12</f>
        <v>0</v>
      </c>
      <c r="I15" s="44">
        <v>0</v>
      </c>
      <c r="J15" s="44">
        <f>'[1]HSBC 500 febrero 2016'!$E$12</f>
        <v>500000000</v>
      </c>
      <c r="K15" s="44">
        <f>'[1]HSBC 500 febrero 2016'!$I$12</f>
        <v>2441477.777777778</v>
      </c>
      <c r="L15" s="46">
        <v>0</v>
      </c>
    </row>
    <row r="16" spans="1:12" collapsed="1" x14ac:dyDescent="0.25">
      <c r="B16" s="14"/>
      <c r="C16" s="15"/>
      <c r="D16" s="13"/>
      <c r="E16" s="74" t="s">
        <v>59</v>
      </c>
      <c r="F16" s="44">
        <f>SUM(F17:F17)</f>
        <v>0</v>
      </c>
      <c r="G16" s="44">
        <f t="shared" ref="G16:I16" si="4">SUM(G17:G17)</f>
        <v>1000000000</v>
      </c>
      <c r="H16" s="44">
        <f t="shared" si="4"/>
        <v>250000000</v>
      </c>
      <c r="I16" s="44">
        <f t="shared" si="4"/>
        <v>0</v>
      </c>
      <c r="J16" s="44">
        <f t="shared" si="2"/>
        <v>750000000</v>
      </c>
      <c r="K16" s="44">
        <f t="shared" ref="K16:L16" si="5">SUM(K17:K17)</f>
        <v>7098061.1133333342</v>
      </c>
      <c r="L16" s="46">
        <f t="shared" si="5"/>
        <v>11600000</v>
      </c>
    </row>
    <row r="17" spans="2:12" hidden="1" outlineLevel="1" x14ac:dyDescent="0.25">
      <c r="B17" s="14"/>
      <c r="C17" s="15"/>
      <c r="D17" s="13"/>
      <c r="E17" s="74"/>
      <c r="F17" s="44"/>
      <c r="G17" s="44">
        <v>1000000000</v>
      </c>
      <c r="H17" s="44">
        <f>'[1]Banorte $1000  Feb 2016'!$F$12</f>
        <v>250000000</v>
      </c>
      <c r="I17" s="44">
        <v>0</v>
      </c>
      <c r="J17" s="44">
        <f>'[1]Banorte $1000  Feb 2016'!$E$13</f>
        <v>750000000</v>
      </c>
      <c r="K17" s="44">
        <f>'[1]Banorte $1000  Feb 2016'!$I$12</f>
        <v>7098061.1133333342</v>
      </c>
      <c r="L17" s="46">
        <v>11600000</v>
      </c>
    </row>
    <row r="18" spans="2:12" collapsed="1" x14ac:dyDescent="0.25">
      <c r="B18" s="14"/>
      <c r="C18" s="15"/>
      <c r="D18" s="13"/>
      <c r="E18" s="12" t="s">
        <v>60</v>
      </c>
      <c r="F18" s="44">
        <f>SUM(F19:F19)</f>
        <v>0</v>
      </c>
      <c r="G18" s="44">
        <f t="shared" ref="G18:I18" si="6">SUM(G19:G19)</f>
        <v>500000000</v>
      </c>
      <c r="H18" s="44">
        <f t="shared" si="6"/>
        <v>166666666.66</v>
      </c>
      <c r="I18" s="20">
        <f t="shared" si="6"/>
        <v>0</v>
      </c>
      <c r="J18" s="20">
        <f t="shared" si="2"/>
        <v>333333333.34000003</v>
      </c>
      <c r="K18" s="44">
        <f t="shared" ref="K18:L18" si="7">SUM(K19:K19)</f>
        <v>1347733.3333333335</v>
      </c>
      <c r="L18" s="46">
        <f t="shared" si="7"/>
        <v>5800000</v>
      </c>
    </row>
    <row r="19" spans="2:12" hidden="1" outlineLevel="1" x14ac:dyDescent="0.25">
      <c r="B19" s="14"/>
      <c r="C19" s="15"/>
      <c r="D19" s="13"/>
      <c r="E19" s="12"/>
      <c r="F19" s="44"/>
      <c r="G19" s="44">
        <v>500000000</v>
      </c>
      <c r="H19" s="44">
        <f>'[1]BBVA 500 marzo 2016'!$F$17</f>
        <v>166666666.66</v>
      </c>
      <c r="I19" s="44">
        <v>0</v>
      </c>
      <c r="J19" s="44">
        <f>'[1]BBVA 500 marzo 2016'!$F$17</f>
        <v>166666666.66</v>
      </c>
      <c r="K19" s="44">
        <f>'[1]BBVA 500 marzo 2016'!$I$17</f>
        <v>1347733.3333333335</v>
      </c>
      <c r="L19" s="46">
        <f>5000000*1.16</f>
        <v>5800000</v>
      </c>
    </row>
    <row r="20" spans="2:12" s="75" customFormat="1" collapsed="1" x14ac:dyDescent="0.25">
      <c r="B20" s="73"/>
      <c r="C20" s="16"/>
      <c r="D20" s="47"/>
      <c r="E20" s="74"/>
      <c r="F20" s="44"/>
      <c r="G20" s="44"/>
      <c r="H20" s="44"/>
      <c r="I20" s="44"/>
      <c r="J20" s="44"/>
      <c r="K20" s="44"/>
      <c r="L20" s="46"/>
    </row>
    <row r="21" spans="2:12" s="75" customFormat="1" ht="15" hidden="1" customHeight="1" outlineLevel="1" x14ac:dyDescent="0.25">
      <c r="B21" s="73"/>
      <c r="C21" s="16"/>
      <c r="D21" s="47"/>
      <c r="E21" s="74"/>
      <c r="F21" s="44"/>
      <c r="G21" s="44"/>
      <c r="H21" s="44"/>
      <c r="I21" s="44"/>
      <c r="J21" s="44"/>
      <c r="K21" s="44"/>
      <c r="L21" s="46"/>
    </row>
    <row r="22" spans="2:12" collapsed="1" x14ac:dyDescent="0.25">
      <c r="B22" s="40"/>
      <c r="C22" s="25"/>
      <c r="D22" s="25" t="s">
        <v>54</v>
      </c>
      <c r="E22" s="26"/>
      <c r="F22" s="27">
        <f>SUM(F23)</f>
        <v>0</v>
      </c>
      <c r="G22" s="28">
        <f t="shared" ref="G22:L22" si="8">SUM(G23)</f>
        <v>0</v>
      </c>
      <c r="H22" s="28">
        <f t="shared" si="8"/>
        <v>0</v>
      </c>
      <c r="I22" s="28">
        <f t="shared" si="8"/>
        <v>0</v>
      </c>
      <c r="J22" s="28">
        <f>SUM(J23)</f>
        <v>0</v>
      </c>
      <c r="K22" s="28">
        <f t="shared" si="8"/>
        <v>0</v>
      </c>
      <c r="L22" s="29">
        <f t="shared" si="8"/>
        <v>0</v>
      </c>
    </row>
    <row r="23" spans="2:12" hidden="1" outlineLevel="1" x14ac:dyDescent="0.25">
      <c r="B23" s="14"/>
      <c r="C23" s="15"/>
      <c r="D23" s="15"/>
      <c r="E23" s="13"/>
      <c r="F23" s="19"/>
      <c r="G23" s="20"/>
      <c r="H23" s="20"/>
      <c r="I23" s="20"/>
      <c r="J23" s="20"/>
      <c r="K23" s="20"/>
      <c r="L23" s="21"/>
    </row>
    <row r="24" spans="2:12" collapsed="1" x14ac:dyDescent="0.25">
      <c r="B24" s="39"/>
      <c r="C24" s="25"/>
      <c r="D24" s="25" t="s">
        <v>7</v>
      </c>
      <c r="E24" s="26"/>
      <c r="F24" s="27">
        <f>SUM(F25)</f>
        <v>0</v>
      </c>
      <c r="G24" s="28">
        <f t="shared" ref="G24:L24" si="9">SUM(G25)</f>
        <v>0</v>
      </c>
      <c r="H24" s="28">
        <f t="shared" si="9"/>
        <v>0</v>
      </c>
      <c r="I24" s="28">
        <f t="shared" si="9"/>
        <v>0</v>
      </c>
      <c r="J24" s="28">
        <f t="shared" si="9"/>
        <v>0</v>
      </c>
      <c r="K24" s="28">
        <f t="shared" si="9"/>
        <v>0</v>
      </c>
      <c r="L24" s="29">
        <f t="shared" si="9"/>
        <v>0</v>
      </c>
    </row>
    <row r="25" spans="2:12" hidden="1" outlineLevel="1" x14ac:dyDescent="0.25">
      <c r="B25" s="11"/>
      <c r="C25" s="15"/>
      <c r="D25" s="15"/>
      <c r="E25" s="13"/>
      <c r="F25" s="19"/>
      <c r="G25" s="20"/>
      <c r="H25" s="20"/>
      <c r="I25" s="20"/>
      <c r="J25" s="20"/>
      <c r="K25" s="20"/>
      <c r="L25" s="21"/>
    </row>
    <row r="26" spans="2:12" collapsed="1" x14ac:dyDescent="0.25">
      <c r="B26" s="41"/>
      <c r="C26" s="32" t="s">
        <v>8</v>
      </c>
      <c r="D26" s="32"/>
      <c r="E26" s="32"/>
      <c r="F26" s="33">
        <f t="shared" ref="F26:L26" si="10">SUM(F27,F40,F45)</f>
        <v>20738685155.529999</v>
      </c>
      <c r="G26" s="33">
        <f t="shared" si="10"/>
        <v>0</v>
      </c>
      <c r="H26" s="33">
        <f>SUM(H27,H40,H45)</f>
        <v>54428158.999999993</v>
      </c>
      <c r="I26" s="33">
        <f t="shared" si="10"/>
        <v>0</v>
      </c>
      <c r="J26" s="33">
        <f>SUM(J27,J40,J45)</f>
        <v>20684256996.529999</v>
      </c>
      <c r="K26" s="33">
        <f t="shared" si="10"/>
        <v>293811622.43954974</v>
      </c>
      <c r="L26" s="34">
        <f t="shared" si="10"/>
        <v>0</v>
      </c>
    </row>
    <row r="27" spans="2:12" x14ac:dyDescent="0.25">
      <c r="B27" s="39"/>
      <c r="C27" s="24"/>
      <c r="D27" s="25" t="s">
        <v>55</v>
      </c>
      <c r="E27" s="26"/>
      <c r="F27" s="28">
        <f>SUM(F28:F39)</f>
        <v>20738685155.529999</v>
      </c>
      <c r="G27" s="28">
        <f>SUM(G28:G39)</f>
        <v>0</v>
      </c>
      <c r="H27" s="28">
        <f>SUM(H28:H39)</f>
        <v>54428158.999999993</v>
      </c>
      <c r="I27" s="28">
        <f t="shared" ref="I27:L27" si="11">SUM(I28:I35)</f>
        <v>0</v>
      </c>
      <c r="J27" s="28">
        <f>+F27+G27-H27+I27</f>
        <v>20684256996.529999</v>
      </c>
      <c r="K27" s="28">
        <f>SUM(K28:K39)</f>
        <v>293811622.43954974</v>
      </c>
      <c r="L27" s="29">
        <f t="shared" si="11"/>
        <v>0</v>
      </c>
    </row>
    <row r="28" spans="2:12" x14ac:dyDescent="0.25">
      <c r="B28" s="11"/>
      <c r="C28" s="10"/>
      <c r="D28" s="10"/>
      <c r="E28" s="60" t="s">
        <v>77</v>
      </c>
      <c r="F28" s="20">
        <f>'[2]4500 Interacciones'!$K$32</f>
        <v>4419081905.9400005</v>
      </c>
      <c r="G28" s="20">
        <v>0</v>
      </c>
      <c r="H28" s="44">
        <f>SUM('[2]4500 Interacciones'!$H$33:$H$35)</f>
        <v>11585136.08</v>
      </c>
      <c r="I28" s="44"/>
      <c r="J28" s="44">
        <f t="shared" ref="J28:J46" si="12">+F28+G28-H28+I28</f>
        <v>4407496769.8600006</v>
      </c>
      <c r="K28" s="44">
        <f>SUM('[2]4500 Interacciones'!$I$33:$I$35)</f>
        <v>61652501.326853894</v>
      </c>
      <c r="L28" s="21">
        <v>0</v>
      </c>
    </row>
    <row r="29" spans="2:12" x14ac:dyDescent="0.25">
      <c r="B29" s="11"/>
      <c r="C29" s="10"/>
      <c r="D29" s="10"/>
      <c r="E29" s="60" t="s">
        <v>78</v>
      </c>
      <c r="F29" s="44">
        <f>'[2]1400  Multiva'!$K$33</f>
        <v>1358770926.9099998</v>
      </c>
      <c r="G29" s="44">
        <v>0</v>
      </c>
      <c r="H29" s="44">
        <f>SUM('[2]1400  Multiva'!$H$34:$H$36)</f>
        <v>5902813.54</v>
      </c>
      <c r="I29" s="44"/>
      <c r="J29" s="44">
        <f t="shared" si="12"/>
        <v>1352868113.3699999</v>
      </c>
      <c r="K29" s="44">
        <f>SUM('[2]1400  Multiva'!$I$34:$I$36)</f>
        <v>19629095.26555438</v>
      </c>
      <c r="L29" s="46">
        <v>0</v>
      </c>
    </row>
    <row r="30" spans="2:12" x14ac:dyDescent="0.25">
      <c r="B30" s="11"/>
      <c r="C30" s="10"/>
      <c r="D30" s="10"/>
      <c r="E30" s="60" t="s">
        <v>79</v>
      </c>
      <c r="F30" s="44">
        <f>'[2]1716 BBVA (2)'!$K$32</f>
        <v>1685255678.9800003</v>
      </c>
      <c r="G30" s="44">
        <v>0</v>
      </c>
      <c r="H30" s="44">
        <f>SUM('[2]1716 BBVA (2)'!$H$33:$H$35)</f>
        <v>4418093.34</v>
      </c>
      <c r="I30" s="44"/>
      <c r="J30" s="44">
        <f t="shared" si="12"/>
        <v>1680837585.6400003</v>
      </c>
      <c r="K30" s="44">
        <f>SUM('[2]1716 BBVA (2)'!$I$33:$I$35)</f>
        <v>21764845.867340427</v>
      </c>
      <c r="L30" s="46">
        <v>0</v>
      </c>
    </row>
    <row r="31" spans="2:12" x14ac:dyDescent="0.25">
      <c r="B31" s="11"/>
      <c r="C31" s="10"/>
      <c r="D31" s="10"/>
      <c r="E31" s="60" t="s">
        <v>80</v>
      </c>
      <c r="F31" s="44">
        <f>'[2]2028 BBVA (3)'!$K$32</f>
        <v>1992006998.4700003</v>
      </c>
      <c r="G31" s="44">
        <v>0</v>
      </c>
      <c r="H31" s="44">
        <f>SUM('[2]2028 BBVA (3)'!$H$33:$H$35)</f>
        <v>5222277.53</v>
      </c>
      <c r="I31" s="44"/>
      <c r="J31" s="44">
        <f t="shared" si="12"/>
        <v>1986784720.9400003</v>
      </c>
      <c r="K31" s="44">
        <f>SUM('[2]2028 BBVA (3)'!$I$33:$I$35)</f>
        <v>25726497.068721168</v>
      </c>
      <c r="L31" s="46">
        <v>0</v>
      </c>
    </row>
    <row r="32" spans="2:12" x14ac:dyDescent="0.25">
      <c r="B32" s="11"/>
      <c r="C32" s="10"/>
      <c r="D32" s="10"/>
      <c r="E32" s="60" t="s">
        <v>81</v>
      </c>
      <c r="F32" s="44">
        <f>'[2]1380 BBVA'!$K$32</f>
        <v>1355185117.7999997</v>
      </c>
      <c r="G32" s="44">
        <v>0</v>
      </c>
      <c r="H32" s="44">
        <f>SUM('[2]1380 BBVA'!$H$33:$H$35)</f>
        <v>3552775.06</v>
      </c>
      <c r="I32" s="44"/>
      <c r="J32" s="44">
        <f t="shared" si="12"/>
        <v>1351632342.7399998</v>
      </c>
      <c r="K32" s="44">
        <f>SUM('[2]1380 BBVA'!$I$33:$I$35)</f>
        <v>17502029.859211378</v>
      </c>
      <c r="L32" s="46">
        <v>0</v>
      </c>
    </row>
    <row r="33" spans="2:12" x14ac:dyDescent="0.25">
      <c r="B33" s="11"/>
      <c r="C33" s="10"/>
      <c r="D33" s="10"/>
      <c r="E33" s="60" t="s">
        <v>82</v>
      </c>
      <c r="F33" s="20">
        <f>'[2]Banorte 1,995mdp'!$K$20</f>
        <v>1977933813.9899998</v>
      </c>
      <c r="G33" s="20">
        <v>0</v>
      </c>
      <c r="H33" s="44">
        <f>SUM('[2]Banorte 1,995mdp'!$H$21:$H$23)</f>
        <v>4398954.5</v>
      </c>
      <c r="I33" s="44"/>
      <c r="J33" s="44">
        <f t="shared" si="12"/>
        <v>1973534859.4899998</v>
      </c>
      <c r="K33" s="44">
        <f>SUM('[2]Banorte 1,995mdp'!$I$21:$I$23)</f>
        <v>25054220.136146016</v>
      </c>
      <c r="L33" s="21">
        <v>0</v>
      </c>
    </row>
    <row r="34" spans="2:12" x14ac:dyDescent="0.25">
      <c r="B34" s="11"/>
      <c r="C34" s="10"/>
      <c r="D34" s="10"/>
      <c r="E34" s="60" t="s">
        <v>83</v>
      </c>
      <c r="F34" s="20">
        <f>'[2]Santander 1,000'!$K$20</f>
        <v>991374094.12999976</v>
      </c>
      <c r="G34" s="20">
        <v>0</v>
      </c>
      <c r="H34" s="44">
        <f>SUM('[2]Santander 1,000'!$H$21:$H$23)</f>
        <v>2204830.87</v>
      </c>
      <c r="I34" s="44"/>
      <c r="J34" s="44">
        <f t="shared" si="12"/>
        <v>989169263.25999975</v>
      </c>
      <c r="K34" s="44">
        <f>SUM('[2]Santander 1,000'!$I$21:$I$23)</f>
        <v>11454192.587520443</v>
      </c>
      <c r="L34" s="21">
        <v>0</v>
      </c>
    </row>
    <row r="35" spans="2:12" x14ac:dyDescent="0.25">
      <c r="B35" s="11"/>
      <c r="C35" s="10"/>
      <c r="D35" s="10"/>
      <c r="E35" s="60" t="s">
        <v>84</v>
      </c>
      <c r="F35" s="20">
        <f>'[2]Banorte 1,320mdp'!$K$8</f>
        <v>1319466228.72</v>
      </c>
      <c r="G35" s="20">
        <v>0</v>
      </c>
      <c r="H35" s="44">
        <f>SUM('[2]Banorte 1,320mdp'!$H$9:$H$11)</f>
        <v>2493025.1800000002</v>
      </c>
      <c r="I35" s="44"/>
      <c r="J35" s="44">
        <f t="shared" si="12"/>
        <v>1316973203.54</v>
      </c>
      <c r="K35" s="44">
        <f>SUM('[2]Banorte 1,320mdp'!$I$9:$I$11)</f>
        <v>22413005.389226057</v>
      </c>
      <c r="L35" s="21">
        <v>0</v>
      </c>
    </row>
    <row r="36" spans="2:12" x14ac:dyDescent="0.25">
      <c r="B36" s="11"/>
      <c r="C36" s="10"/>
      <c r="D36" s="10"/>
      <c r="E36" s="60"/>
      <c r="F36" s="20"/>
      <c r="G36" s="20"/>
      <c r="H36" s="44"/>
      <c r="I36" s="44"/>
      <c r="J36" s="44"/>
      <c r="K36" s="44"/>
      <c r="L36" s="21"/>
    </row>
    <row r="37" spans="2:12" x14ac:dyDescent="0.25">
      <c r="B37" s="11"/>
      <c r="C37" s="10"/>
      <c r="D37" s="10"/>
      <c r="E37" s="60" t="s">
        <v>85</v>
      </c>
      <c r="F37" s="44">
        <f>'[3]5000 inbursa reest 2014'!$K$20</f>
        <v>4656953230.5700006</v>
      </c>
      <c r="G37" s="44">
        <v>0</v>
      </c>
      <c r="H37" s="44">
        <f>SUM('[3]5000 inbursa reest 2014'!$E$21:$E$23)</f>
        <v>12097563.1</v>
      </c>
      <c r="I37" s="44"/>
      <c r="J37" s="44">
        <f t="shared" si="12"/>
        <v>4644855667.4700003</v>
      </c>
      <c r="K37" s="44">
        <f>SUM('[3]5000 inbursa reest 2014'!$I$21:$I$23)</f>
        <v>73174736.55899483</v>
      </c>
      <c r="L37" s="46">
        <v>0</v>
      </c>
    </row>
    <row r="38" spans="2:12" x14ac:dyDescent="0.25">
      <c r="B38" s="11"/>
      <c r="C38" s="10"/>
      <c r="D38" s="10"/>
      <c r="E38" s="60" t="s">
        <v>86</v>
      </c>
      <c r="F38" s="44">
        <f>'[4]1160 inbursa reest 2014'!$K$18</f>
        <v>982657160.01999986</v>
      </c>
      <c r="G38" s="44">
        <v>0</v>
      </c>
      <c r="H38" s="44">
        <f>SUM('[4]1160 inbursa reest 2014'!$E$19:$E$21)</f>
        <v>2552689.7999999998</v>
      </c>
      <c r="I38" s="44"/>
      <c r="J38" s="44">
        <f t="shared" si="12"/>
        <v>980104470.21999991</v>
      </c>
      <c r="K38" s="44">
        <f>SUM('[4]1160 inbursa reest 2014'!$I$19:$I$21)</f>
        <v>15440498.379981169</v>
      </c>
      <c r="L38" s="46">
        <v>0</v>
      </c>
    </row>
    <row r="39" spans="2:12" x14ac:dyDescent="0.25">
      <c r="B39" s="11"/>
      <c r="C39" s="10"/>
      <c r="D39" s="10"/>
      <c r="E39" s="16"/>
      <c r="F39" s="20"/>
      <c r="G39" s="20"/>
      <c r="H39" s="44"/>
      <c r="I39" s="44"/>
      <c r="J39" s="44"/>
      <c r="K39" s="44"/>
      <c r="L39" s="21"/>
    </row>
    <row r="40" spans="2:12" x14ac:dyDescent="0.25">
      <c r="B40" s="39"/>
      <c r="C40" s="25"/>
      <c r="D40" s="25" t="s">
        <v>56</v>
      </c>
      <c r="E40" s="26"/>
      <c r="F40" s="28">
        <f>SUM(F41)</f>
        <v>0</v>
      </c>
      <c r="G40" s="28">
        <f t="shared" ref="G40:L40" si="13">SUM(G41)</f>
        <v>0</v>
      </c>
      <c r="H40" s="28">
        <f t="shared" si="13"/>
        <v>0</v>
      </c>
      <c r="I40" s="28">
        <f t="shared" si="13"/>
        <v>0</v>
      </c>
      <c r="J40" s="28">
        <f>+F40+G40-H40+I40</f>
        <v>0</v>
      </c>
      <c r="K40" s="28">
        <f t="shared" si="13"/>
        <v>0</v>
      </c>
      <c r="L40" s="29">
        <f t="shared" si="13"/>
        <v>0</v>
      </c>
    </row>
    <row r="41" spans="2:12" x14ac:dyDescent="0.25">
      <c r="B41" s="11"/>
      <c r="C41" s="15"/>
      <c r="D41" s="15"/>
      <c r="E41" s="13"/>
      <c r="F41" s="20"/>
      <c r="G41" s="20"/>
      <c r="H41" s="20"/>
      <c r="I41" s="20"/>
      <c r="J41" s="20">
        <f t="shared" si="12"/>
        <v>0</v>
      </c>
      <c r="K41" s="20"/>
      <c r="L41" s="21"/>
    </row>
    <row r="42" spans="2:12" x14ac:dyDescent="0.25">
      <c r="B42" s="11"/>
      <c r="C42" s="15"/>
      <c r="D42" s="15"/>
      <c r="E42" s="13"/>
      <c r="F42" s="20"/>
      <c r="G42" s="20"/>
      <c r="H42" s="20"/>
      <c r="I42" s="20"/>
      <c r="J42" s="20">
        <f t="shared" si="12"/>
        <v>0</v>
      </c>
      <c r="K42" s="20"/>
      <c r="L42" s="21"/>
    </row>
    <row r="43" spans="2:12" x14ac:dyDescent="0.25">
      <c r="B43" s="11"/>
      <c r="C43" s="15"/>
      <c r="D43" s="15"/>
      <c r="E43" s="13"/>
      <c r="F43" s="20"/>
      <c r="G43" s="20"/>
      <c r="H43" s="20"/>
      <c r="I43" s="20"/>
      <c r="J43" s="20">
        <f t="shared" si="12"/>
        <v>0</v>
      </c>
      <c r="K43" s="20"/>
      <c r="L43" s="21"/>
    </row>
    <row r="44" spans="2:12" x14ac:dyDescent="0.25">
      <c r="B44" s="11"/>
      <c r="C44" s="15"/>
      <c r="D44" s="15"/>
      <c r="E44" s="13"/>
      <c r="F44" s="20"/>
      <c r="G44" s="20"/>
      <c r="H44" s="20"/>
      <c r="I44" s="20"/>
      <c r="J44" s="20">
        <f t="shared" si="12"/>
        <v>0</v>
      </c>
      <c r="K44" s="20"/>
      <c r="L44" s="21"/>
    </row>
    <row r="45" spans="2:12" x14ac:dyDescent="0.25">
      <c r="B45" s="39"/>
      <c r="C45" s="25"/>
      <c r="D45" s="25" t="s">
        <v>17</v>
      </c>
      <c r="E45" s="26"/>
      <c r="F45" s="28">
        <f>SUM(F46)</f>
        <v>0</v>
      </c>
      <c r="G45" s="28">
        <f t="shared" ref="G45:I45" si="14">SUM(G46)</f>
        <v>0</v>
      </c>
      <c r="H45" s="28">
        <f t="shared" si="14"/>
        <v>0</v>
      </c>
      <c r="I45" s="28">
        <f t="shared" si="14"/>
        <v>0</v>
      </c>
      <c r="J45" s="28">
        <f>+F45+G45-H45+I45</f>
        <v>0</v>
      </c>
      <c r="K45" s="28">
        <f t="shared" ref="K45:L45" si="15">SUM(K46)</f>
        <v>0</v>
      </c>
      <c r="L45" s="29">
        <f t="shared" si="15"/>
        <v>0</v>
      </c>
    </row>
    <row r="46" spans="2:12" x14ac:dyDescent="0.25">
      <c r="B46" s="11"/>
      <c r="C46" s="15"/>
      <c r="D46" s="15"/>
      <c r="E46" s="13"/>
      <c r="F46" s="20"/>
      <c r="G46" s="20"/>
      <c r="H46" s="20"/>
      <c r="I46" s="20"/>
      <c r="J46" s="20">
        <f t="shared" si="12"/>
        <v>0</v>
      </c>
      <c r="K46" s="20"/>
      <c r="L46" s="21"/>
    </row>
    <row r="47" spans="2:12" x14ac:dyDescent="0.25">
      <c r="B47" s="50" t="s">
        <v>18</v>
      </c>
      <c r="C47" s="51"/>
      <c r="D47" s="51"/>
      <c r="E47" s="51"/>
      <c r="F47" s="52"/>
      <c r="G47" s="52"/>
      <c r="H47" s="52"/>
      <c r="I47" s="52"/>
      <c r="J47" s="52"/>
      <c r="K47" s="52"/>
      <c r="L47" s="53"/>
    </row>
    <row r="48" spans="2:12" x14ac:dyDescent="0.25">
      <c r="B48" s="17" t="s">
        <v>19</v>
      </c>
      <c r="C48" s="18"/>
      <c r="D48" s="18"/>
      <c r="E48" s="18"/>
      <c r="F48" s="49">
        <f t="shared" ref="F48:L48" si="16">F7+F47</f>
        <v>21738685155.529999</v>
      </c>
      <c r="G48" s="49">
        <f t="shared" si="16"/>
        <v>2000000000</v>
      </c>
      <c r="H48" s="49">
        <f t="shared" si="16"/>
        <v>871094825.65999997</v>
      </c>
      <c r="I48" s="49">
        <f t="shared" si="16"/>
        <v>0</v>
      </c>
      <c r="J48" s="49">
        <f t="shared" si="16"/>
        <v>22867590329.869999</v>
      </c>
      <c r="K48" s="49">
        <f t="shared" si="16"/>
        <v>316781085.84510529</v>
      </c>
      <c r="L48" s="49">
        <f t="shared" si="16"/>
        <v>31900000</v>
      </c>
    </row>
    <row r="49" spans="2:13" ht="14.45" x14ac:dyDescent="0.3">
      <c r="B49" s="54" t="s">
        <v>20</v>
      </c>
      <c r="C49" s="55"/>
      <c r="D49" s="55"/>
      <c r="E49" s="55"/>
      <c r="F49" s="56"/>
      <c r="G49" s="56"/>
      <c r="H49" s="56"/>
      <c r="I49" s="56"/>
      <c r="J49" s="56"/>
      <c r="K49" s="56"/>
      <c r="L49" s="57"/>
    </row>
    <row r="50" spans="2:13" x14ac:dyDescent="0.25">
      <c r="B50" s="11"/>
      <c r="D50" s="63" t="s">
        <v>65</v>
      </c>
      <c r="E50" s="61" t="s">
        <v>58</v>
      </c>
      <c r="F50" s="20">
        <f>'[5]HSBC 416''136'!$L$75</f>
        <v>317437076.98000079</v>
      </c>
      <c r="G50" s="20">
        <v>0</v>
      </c>
      <c r="H50" s="72">
        <v>0</v>
      </c>
      <c r="I50" s="44">
        <v>0</v>
      </c>
      <c r="J50" s="44">
        <f>'[5]HSBC 416''136'!$L$78</f>
        <v>309434461.60000086</v>
      </c>
      <c r="K50" s="72">
        <f>SUM('[5]HSBC 416''136'!$J$76:$J$78)</f>
        <v>4297004.3315670118</v>
      </c>
      <c r="L50" s="21"/>
    </row>
    <row r="51" spans="2:13" x14ac:dyDescent="0.25">
      <c r="B51" s="11"/>
      <c r="D51" s="63" t="s">
        <v>64</v>
      </c>
      <c r="E51" s="61" t="s">
        <v>63</v>
      </c>
      <c r="F51" s="20">
        <f>'[5]Santander 416''136'!$L$74</f>
        <v>320104615.44000077</v>
      </c>
      <c r="G51" s="20">
        <v>0</v>
      </c>
      <c r="H51" s="72">
        <v>0</v>
      </c>
      <c r="I51" s="44">
        <v>0</v>
      </c>
      <c r="J51" s="44">
        <f>'[5]Santander 416''136'!$L$77</f>
        <v>312102000.06000084</v>
      </c>
      <c r="K51" s="72">
        <f>SUM('[5]Santander 416''136'!$J$75:$J$77)</f>
        <v>3933263.2327555101</v>
      </c>
      <c r="L51" s="21"/>
    </row>
    <row r="52" spans="2:13" x14ac:dyDescent="0.25">
      <c r="B52" s="11"/>
      <c r="D52" s="63" t="s">
        <v>66</v>
      </c>
      <c r="E52" s="60" t="s">
        <v>87</v>
      </c>
      <c r="F52" s="77">
        <v>3000000000</v>
      </c>
      <c r="G52" s="20">
        <v>6000000000</v>
      </c>
      <c r="H52" s="71">
        <f>'[6]Inbursa 6000 mdp '!$L$8+3000000000</f>
        <v>3010963676.5</v>
      </c>
      <c r="I52" s="20">
        <v>0</v>
      </c>
      <c r="J52" s="20">
        <f>+F52+G52-H52+I52</f>
        <v>5989036323.5</v>
      </c>
      <c r="K52" s="71">
        <f>'[6]Inbursa 6000 mdp '!$I$8</f>
        <v>0</v>
      </c>
      <c r="L52" s="46"/>
    </row>
    <row r="53" spans="2:13" x14ac:dyDescent="0.25">
      <c r="B53" s="11"/>
      <c r="D53" s="63" t="s">
        <v>67</v>
      </c>
      <c r="E53" s="60" t="s">
        <v>93</v>
      </c>
      <c r="F53" s="77">
        <f>'[7]80634'!$N$28</f>
        <v>2625149999</v>
      </c>
      <c r="G53" s="20">
        <v>0</v>
      </c>
      <c r="H53" s="71">
        <f>SUM('[7]80634'!$H$29:$H$31)</f>
        <v>106650000.00000007</v>
      </c>
      <c r="I53" s="20">
        <v>0</v>
      </c>
      <c r="J53" s="20">
        <f>+F53+G53-H53+I53</f>
        <v>2518499999</v>
      </c>
      <c r="K53" s="71">
        <f>SUM('[7]80634'!$L$29:$L$31)</f>
        <v>108209553.83320417</v>
      </c>
      <c r="L53" s="46"/>
    </row>
    <row r="54" spans="2:13" x14ac:dyDescent="0.25">
      <c r="B54" s="11"/>
      <c r="D54" s="63" t="s">
        <v>72</v>
      </c>
      <c r="E54" s="60" t="s">
        <v>94</v>
      </c>
      <c r="F54" s="77"/>
      <c r="G54" s="20"/>
      <c r="H54" s="71"/>
      <c r="I54" s="20"/>
      <c r="J54" s="20"/>
      <c r="K54" s="71"/>
      <c r="L54" s="46"/>
    </row>
    <row r="55" spans="2:13" x14ac:dyDescent="0.25">
      <c r="B55" s="11"/>
      <c r="L55" s="59"/>
    </row>
    <row r="56" spans="2:13" s="6" customFormat="1" x14ac:dyDescent="0.25">
      <c r="B56" s="54" t="s">
        <v>21</v>
      </c>
      <c r="C56" s="55"/>
      <c r="D56" s="55"/>
      <c r="E56" s="55"/>
      <c r="F56" s="56"/>
      <c r="G56" s="56"/>
      <c r="H56" s="56"/>
      <c r="I56" s="56"/>
      <c r="J56" s="56"/>
      <c r="K56" s="56"/>
      <c r="L56" s="57"/>
      <c r="M56"/>
    </row>
    <row r="57" spans="2:13" x14ac:dyDescent="0.25">
      <c r="B57" s="14"/>
      <c r="C57" s="15"/>
      <c r="D57" s="63" t="s">
        <v>65</v>
      </c>
      <c r="E57" s="62" t="s">
        <v>68</v>
      </c>
      <c r="F57" s="44">
        <f>'[8]Banobras 1400'!$L$49</f>
        <v>954083200</v>
      </c>
      <c r="G57" s="44">
        <v>0</v>
      </c>
      <c r="H57" s="44">
        <v>0</v>
      </c>
      <c r="I57" s="48">
        <f>IF(F57&gt;J57,(F57-J57)*-1,(F57-J57)*-1)</f>
        <v>-28481600</v>
      </c>
      <c r="J57" s="44">
        <f>'[8]Banobras 1400'!$L$52</f>
        <v>925601600</v>
      </c>
      <c r="K57" s="44">
        <f>SUM('[8]Banobras 1400'!$H$50:$H$52)</f>
        <v>33778585.331533469</v>
      </c>
      <c r="L57" s="160">
        <f>SUM('[9]Credito Corto Plazo'!$I$72,'[9]Credito Corto Plazo'!$I$73,'[9]Credito Corto Plazo'!$I$82:$I$87)</f>
        <v>69552.189999999988</v>
      </c>
    </row>
    <row r="58" spans="2:13" x14ac:dyDescent="0.25">
      <c r="B58" s="14"/>
      <c r="C58" s="15"/>
      <c r="D58" s="63" t="s">
        <v>64</v>
      </c>
      <c r="E58" s="62" t="s">
        <v>69</v>
      </c>
      <c r="F58" s="44">
        <f>'[8]Banobras 1200'!$M$54</f>
        <v>828648000</v>
      </c>
      <c r="G58" s="44">
        <v>0</v>
      </c>
      <c r="H58" s="44">
        <v>0</v>
      </c>
      <c r="I58" s="48">
        <f>IF(F58&gt;J58,(F58-J58)*-1,(F58-J58)*-1)</f>
        <v>-24240000</v>
      </c>
      <c r="J58" s="44">
        <f>'[8]Banobras 1200'!$M$57</f>
        <v>804408000</v>
      </c>
      <c r="K58" s="44">
        <f>SUM('[8]Banobras 1200'!$I$56:$I$58)</f>
        <v>27391000</v>
      </c>
      <c r="L58" s="161"/>
    </row>
    <row r="59" spans="2:13" x14ac:dyDescent="0.25">
      <c r="B59" s="14"/>
      <c r="C59" s="15"/>
      <c r="D59" s="63" t="s">
        <v>66</v>
      </c>
      <c r="E59" s="62" t="s">
        <v>70</v>
      </c>
      <c r="F59" s="44">
        <f>'[8]Banobras 1020'!$J$40</f>
        <v>722585340</v>
      </c>
      <c r="G59" s="44">
        <v>0</v>
      </c>
      <c r="H59" s="44">
        <v>0</v>
      </c>
      <c r="I59" s="48">
        <f>IF(F59&gt;J59,(F59-J59)*-1,(F59-J59)*-1)</f>
        <v>-20333700</v>
      </c>
      <c r="J59" s="44">
        <f>'[8]Banobras 1020'!$J$43</f>
        <v>702251640</v>
      </c>
      <c r="K59" s="44">
        <f>SUM('[8]Banobras 1020'!$G$41:$G$43)</f>
        <v>21162050</v>
      </c>
      <c r="L59" s="161"/>
    </row>
    <row r="60" spans="2:13" x14ac:dyDescent="0.25">
      <c r="B60" s="14"/>
      <c r="C60" s="15"/>
      <c r="D60" s="63" t="s">
        <v>67</v>
      </c>
      <c r="E60" s="62" t="s">
        <v>71</v>
      </c>
      <c r="F60" s="44">
        <f>'[8]Banobras 636.92'!$I$42</f>
        <v>637014515</v>
      </c>
      <c r="G60" s="44">
        <v>0</v>
      </c>
      <c r="H60" s="44">
        <v>0</v>
      </c>
      <c r="I60" s="48">
        <f>IF(F60&gt;J60,(F60-J60)*-1,(F60-J60)*-1)</f>
        <v>0</v>
      </c>
      <c r="J60" s="44">
        <f>'[8]Banobras 636.92'!$I$45</f>
        <v>637014515</v>
      </c>
      <c r="K60" s="44">
        <f>SUM('[8]Banobras 636.92'!$H$43:$H$45)</f>
        <v>13347338.71895889</v>
      </c>
      <c r="L60" s="161"/>
    </row>
    <row r="61" spans="2:13" x14ac:dyDescent="0.25">
      <c r="B61" s="14"/>
      <c r="C61" s="16"/>
      <c r="D61" s="47"/>
      <c r="E61" s="47"/>
      <c r="F61" s="44"/>
      <c r="G61" s="44"/>
      <c r="H61" s="44"/>
      <c r="I61" s="44"/>
      <c r="J61" s="44"/>
      <c r="K61" s="44"/>
      <c r="L61" s="46"/>
    </row>
    <row r="62" spans="2:13" x14ac:dyDescent="0.25">
      <c r="B62" s="7"/>
      <c r="C62" s="8"/>
      <c r="D62" s="9"/>
      <c r="E62" s="9"/>
      <c r="F62" s="22"/>
      <c r="G62" s="22"/>
      <c r="H62" s="22"/>
      <c r="I62" s="22"/>
      <c r="J62" s="22"/>
      <c r="K62" s="22"/>
      <c r="L62" s="23"/>
    </row>
    <row r="63" spans="2:13" x14ac:dyDescent="0.25">
      <c r="B63" s="15"/>
      <c r="C63" s="15"/>
      <c r="D63" s="13"/>
      <c r="E63" s="13"/>
      <c r="F63" s="20"/>
      <c r="G63" s="20"/>
      <c r="H63" s="20"/>
      <c r="I63" s="20"/>
      <c r="J63" s="20"/>
      <c r="K63" s="20"/>
      <c r="L63" s="20"/>
    </row>
    <row r="64" spans="2:13" ht="20.25" customHeight="1" x14ac:dyDescent="0.25">
      <c r="B64" s="162" t="s">
        <v>23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</row>
    <row r="65" spans="2:12" ht="20.25" customHeight="1" x14ac:dyDescent="0.25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</row>
    <row r="66" spans="2:12" ht="20.25" customHeight="1" x14ac:dyDescent="0.25">
      <c r="B66" s="163" t="s">
        <v>22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</row>
    <row r="67" spans="2:12" ht="20.25" customHeight="1" x14ac:dyDescent="0.25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</row>
    <row r="68" spans="2:12" ht="20.25" customHeight="1" x14ac:dyDescent="0.25"/>
    <row r="69" spans="2:12" ht="20.25" customHeight="1" x14ac:dyDescent="0.25"/>
    <row r="70" spans="2:12" ht="20.25" customHeight="1" x14ac:dyDescent="0.25"/>
    <row r="71" spans="2:12" ht="20.25" customHeight="1" x14ac:dyDescent="0.25"/>
    <row r="72" spans="2:12" ht="20.25" customHeight="1" x14ac:dyDescent="0.25"/>
  </sheetData>
  <mergeCells count="9">
    <mergeCell ref="L57:L60"/>
    <mergeCell ref="B64:L65"/>
    <mergeCell ref="B66:L67"/>
    <mergeCell ref="L12:L13"/>
    <mergeCell ref="B2:L2"/>
    <mergeCell ref="B3:L3"/>
    <mergeCell ref="B4:L4"/>
    <mergeCell ref="B5:L5"/>
    <mergeCell ref="B6:E6"/>
  </mergeCells>
  <pageMargins left="0.62992125984251968" right="0.62992125984251968" top="0.74803149606299213" bottom="0.74803149606299213" header="0.31496062992125984" footer="0.31496062992125984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72"/>
  <sheetViews>
    <sheetView showGridLines="0" zoomScale="70" zoomScaleNormal="70" workbookViewId="0">
      <pane xSplit="5" ySplit="6" topLeftCell="F32" activePane="bottomRight" state="frozen"/>
      <selection activeCell="L57" sqref="L57:L60"/>
      <selection pane="topRight" activeCell="L57" sqref="L57:L60"/>
      <selection pane="bottomLeft" activeCell="L57" sqref="L57:L60"/>
      <selection pane="bottomRight" activeCell="L57" sqref="L57:L60"/>
    </sheetView>
  </sheetViews>
  <sheetFormatPr baseColWidth="10" defaultRowHeight="15" outlineLevelRow="1" x14ac:dyDescent="0.25"/>
  <cols>
    <col min="1" max="1" width="3.140625" customWidth="1"/>
    <col min="2" max="2" width="3.42578125" customWidth="1"/>
    <col min="3" max="3" width="2.7109375" customWidth="1"/>
    <col min="4" max="4" width="4.140625" customWidth="1"/>
    <col min="5" max="5" width="30" customWidth="1"/>
    <col min="6" max="12" width="24.28515625" customWidth="1"/>
    <col min="13" max="13" width="4.5703125" customWidth="1"/>
  </cols>
  <sheetData>
    <row r="1" spans="1:12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8.75" x14ac:dyDescent="0.25">
      <c r="B2" s="165" t="s">
        <v>50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s="1" customFormat="1" ht="17.25" x14ac:dyDescent="0.25">
      <c r="B3" s="166" t="s">
        <v>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1" customFormat="1" ht="15.75" x14ac:dyDescent="0.25">
      <c r="B4" s="167" t="s">
        <v>96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1" customFormat="1" x14ac:dyDescent="0.25">
      <c r="B5" s="168" t="s">
        <v>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67.5" customHeight="1" x14ac:dyDescent="0.25">
      <c r="B6" s="169" t="s">
        <v>9</v>
      </c>
      <c r="C6" s="170"/>
      <c r="D6" s="170"/>
      <c r="E6" s="170"/>
      <c r="F6" s="58" t="s">
        <v>97</v>
      </c>
      <c r="G6" s="58" t="s">
        <v>11</v>
      </c>
      <c r="H6" s="58" t="s">
        <v>12</v>
      </c>
      <c r="I6" s="58" t="s">
        <v>13</v>
      </c>
      <c r="J6" s="58" t="s">
        <v>14</v>
      </c>
      <c r="K6" s="58" t="s">
        <v>15</v>
      </c>
      <c r="L6" s="58" t="s">
        <v>16</v>
      </c>
    </row>
    <row r="7" spans="1:12" x14ac:dyDescent="0.25">
      <c r="B7" s="54" t="s">
        <v>5</v>
      </c>
      <c r="C7" s="55"/>
      <c r="D7" s="55"/>
      <c r="E7" s="55"/>
      <c r="F7" s="56">
        <f>SUM(F8,F26)</f>
        <v>22867590329.870003</v>
      </c>
      <c r="G7" s="56">
        <f t="shared" ref="G7:L7" si="0">SUM(G8,G26)</f>
        <v>2913934381</v>
      </c>
      <c r="H7" s="56">
        <f t="shared" si="0"/>
        <v>2114598375.3800001</v>
      </c>
      <c r="I7" s="56">
        <f t="shared" si="0"/>
        <v>0</v>
      </c>
      <c r="J7" s="56">
        <f>SUM(J8,J26)</f>
        <v>23666926335.490002</v>
      </c>
      <c r="K7" s="56">
        <f t="shared" si="0"/>
        <v>366040098.87736118</v>
      </c>
      <c r="L7" s="57">
        <f t="shared" si="0"/>
        <v>185600000</v>
      </c>
    </row>
    <row r="8" spans="1:12" x14ac:dyDescent="0.25">
      <c r="B8" s="38"/>
      <c r="C8" s="32" t="s">
        <v>6</v>
      </c>
      <c r="D8" s="35"/>
      <c r="E8" s="35"/>
      <c r="F8" s="78">
        <f>SUM(F9,F22,F24)</f>
        <v>2183333333.3400002</v>
      </c>
      <c r="G8" s="37">
        <f t="shared" ref="G8:L8" si="1">SUM(G9,G22,G24)</f>
        <v>2913934381</v>
      </c>
      <c r="H8" s="37">
        <f t="shared" si="1"/>
        <v>2058333333.3400002</v>
      </c>
      <c r="I8" s="37">
        <f>SUM(I9,I22,I24)</f>
        <v>0</v>
      </c>
      <c r="J8" s="37">
        <f t="shared" si="1"/>
        <v>3038934381</v>
      </c>
      <c r="K8" s="37">
        <f t="shared" si="1"/>
        <v>49975502.099674761</v>
      </c>
      <c r="L8" s="45">
        <f t="shared" si="1"/>
        <v>185600000</v>
      </c>
    </row>
    <row r="9" spans="1:12" x14ac:dyDescent="0.25">
      <c r="B9" s="39"/>
      <c r="C9" s="30"/>
      <c r="D9" s="31" t="s">
        <v>53</v>
      </c>
      <c r="E9" s="26"/>
      <c r="F9" s="79">
        <f>SUM(F10,F14,F16,F18,F20)</f>
        <v>2183333333.3400002</v>
      </c>
      <c r="G9" s="28">
        <f>SUM(G10,G14,G16,G18,G20)</f>
        <v>2913934381</v>
      </c>
      <c r="H9" s="28">
        <f>SUM(H10,H14,H16,H18,H20)</f>
        <v>2058333333.3400002</v>
      </c>
      <c r="I9" s="28">
        <f>SUM(I10,I14,I16,I18,I20)</f>
        <v>0</v>
      </c>
      <c r="J9" s="28">
        <f>F9+G9-H9+I9</f>
        <v>3038934381</v>
      </c>
      <c r="K9" s="28">
        <f t="shared" ref="K9:L9" si="2">SUM(K10,K14,K16,K18,K20)</f>
        <v>49975502.099674761</v>
      </c>
      <c r="L9" s="29">
        <f t="shared" si="2"/>
        <v>185600000</v>
      </c>
    </row>
    <row r="10" spans="1:12" x14ac:dyDescent="0.25">
      <c r="B10" s="14"/>
      <c r="C10" s="15"/>
      <c r="D10" s="13"/>
      <c r="E10" s="16" t="s">
        <v>57</v>
      </c>
      <c r="F10" s="44">
        <f>SUM(F11:F$13)</f>
        <v>600000000</v>
      </c>
      <c r="G10" s="44">
        <f>SUM(G11:G$13)</f>
        <v>2913934381</v>
      </c>
      <c r="H10" s="44">
        <f>SUM(H11:H$13)</f>
        <v>600000000</v>
      </c>
      <c r="I10" s="19">
        <f>SUM(I11:I$13)</f>
        <v>0</v>
      </c>
      <c r="J10" s="20">
        <f t="shared" ref="J10:J19" si="3">+F10+G10-H10+I10</f>
        <v>2913934381</v>
      </c>
      <c r="K10" s="44">
        <f>SUM(K11:K$13)</f>
        <v>37681611.706055149</v>
      </c>
      <c r="L10" s="46">
        <f>SUM(L11:L$13)</f>
        <v>185600000</v>
      </c>
    </row>
    <row r="11" spans="1:12" hidden="1" outlineLevel="1" x14ac:dyDescent="0.25">
      <c r="B11" s="14"/>
      <c r="C11" s="15"/>
      <c r="D11" s="13"/>
      <c r="E11" s="16"/>
      <c r="F11" s="44">
        <f>'Trimestre 1-Formato 2'!J10</f>
        <v>600000000</v>
      </c>
      <c r="G11" s="44">
        <v>0</v>
      </c>
      <c r="H11" s="44">
        <f>'[1]Interaciones 1000 Ene 2016'!$F$18</f>
        <v>600000000</v>
      </c>
      <c r="I11" s="44">
        <v>0</v>
      </c>
      <c r="J11" s="44">
        <f>+F11+G11-H11+I11</f>
        <v>0</v>
      </c>
      <c r="K11" s="44">
        <f>'[1]Interaciones 1000 Ene 2016'!$I$18</f>
        <v>3063666.7566666668</v>
      </c>
      <c r="L11" s="44"/>
    </row>
    <row r="12" spans="1:12" hidden="1" outlineLevel="1" x14ac:dyDescent="0.25">
      <c r="B12" s="14"/>
      <c r="C12" s="15"/>
      <c r="D12" s="13"/>
      <c r="E12" s="16"/>
      <c r="F12" s="44"/>
      <c r="G12" s="44">
        <v>1838917507.53</v>
      </c>
      <c r="H12" s="44">
        <f>SUM('[1]Interaciones 434988 Abril 2016'!$F$12:$F$13)</f>
        <v>0</v>
      </c>
      <c r="I12" s="44">
        <v>0</v>
      </c>
      <c r="J12" s="44">
        <f t="shared" si="3"/>
        <v>1838917507.53</v>
      </c>
      <c r="K12" s="44">
        <f>SUM('[1]Interaciones 434988 Abril 2016'!$I$12:$I$13)</f>
        <v>21846595.294665784</v>
      </c>
      <c r="L12" s="171">
        <f>160000000*1.16</f>
        <v>185600000</v>
      </c>
    </row>
    <row r="13" spans="1:12" hidden="1" outlineLevel="1" x14ac:dyDescent="0.25">
      <c r="B13" s="14"/>
      <c r="C13" s="15"/>
      <c r="D13" s="13"/>
      <c r="E13" s="13"/>
      <c r="F13" s="44"/>
      <c r="G13" s="44">
        <v>1075016873.47</v>
      </c>
      <c r="H13" s="44">
        <f>SUM('[1]Interaciones 434990 Abril 2016'!$F$12:$F$13)</f>
        <v>0</v>
      </c>
      <c r="I13" s="44">
        <v>0</v>
      </c>
      <c r="J13" s="44">
        <f t="shared" si="3"/>
        <v>1075016873.47</v>
      </c>
      <c r="K13" s="44">
        <f>SUM('[1]Interaciones 434990 Abril 2016'!$I$12:$I$13)</f>
        <v>12771349.654722694</v>
      </c>
      <c r="L13" s="171"/>
    </row>
    <row r="14" spans="1:12" collapsed="1" x14ac:dyDescent="0.25">
      <c r="B14" s="14"/>
      <c r="C14" s="15"/>
      <c r="D14" s="13"/>
      <c r="E14" s="12" t="s">
        <v>58</v>
      </c>
      <c r="F14" s="44">
        <f>SUM(F15:F15)</f>
        <v>500000000</v>
      </c>
      <c r="G14" s="44">
        <f t="shared" ref="G14:L14" si="4">SUM(G15:G15)</f>
        <v>0</v>
      </c>
      <c r="H14" s="44">
        <f t="shared" si="4"/>
        <v>375000000</v>
      </c>
      <c r="I14" s="20">
        <f>SUM(I15:I15)</f>
        <v>0</v>
      </c>
      <c r="J14" s="20">
        <f t="shared" si="3"/>
        <v>125000000</v>
      </c>
      <c r="K14" s="44">
        <f t="shared" si="4"/>
        <v>5856657.9861111119</v>
      </c>
      <c r="L14" s="46">
        <f t="shared" si="4"/>
        <v>0</v>
      </c>
    </row>
    <row r="15" spans="1:12" hidden="1" outlineLevel="1" x14ac:dyDescent="0.25">
      <c r="B15" s="14"/>
      <c r="C15" s="15"/>
      <c r="D15" s="13"/>
      <c r="E15" s="12"/>
      <c r="F15" s="44">
        <f>'Trimestre 1-Formato 2'!J15</f>
        <v>500000000</v>
      </c>
      <c r="G15" s="44"/>
      <c r="H15" s="44">
        <f>SUM('[1]HSBC 500 febrero 2016'!$F$13:$F$15)</f>
        <v>375000000</v>
      </c>
      <c r="I15" s="44">
        <v>0</v>
      </c>
      <c r="J15" s="44">
        <f t="shared" si="3"/>
        <v>125000000</v>
      </c>
      <c r="K15" s="44">
        <f>SUM('[1]HSBC 500 febrero 2016'!$I$13:$I$15)</f>
        <v>5856657.9861111119</v>
      </c>
      <c r="L15" s="46">
        <v>0</v>
      </c>
    </row>
    <row r="16" spans="1:12" collapsed="1" x14ac:dyDescent="0.25">
      <c r="B16" s="14"/>
      <c r="C16" s="15"/>
      <c r="D16" s="13"/>
      <c r="E16" s="12" t="s">
        <v>59</v>
      </c>
      <c r="F16" s="44">
        <f>SUM(F17:F17)</f>
        <v>750000000</v>
      </c>
      <c r="G16" s="44">
        <f t="shared" ref="G16:I16" si="5">SUM(G17:G17)</f>
        <v>0</v>
      </c>
      <c r="H16" s="44">
        <f t="shared" si="5"/>
        <v>750000000</v>
      </c>
      <c r="I16" s="20">
        <f t="shared" si="5"/>
        <v>0</v>
      </c>
      <c r="J16" s="44">
        <f t="shared" si="3"/>
        <v>0</v>
      </c>
      <c r="K16" s="44">
        <f t="shared" ref="K16:L16" si="6">SUM(K17:K17)</f>
        <v>3825845.833333333</v>
      </c>
      <c r="L16" s="46">
        <f t="shared" si="6"/>
        <v>0</v>
      </c>
    </row>
    <row r="17" spans="2:12" hidden="1" outlineLevel="1" x14ac:dyDescent="0.25">
      <c r="B17" s="14"/>
      <c r="C17" s="15"/>
      <c r="D17" s="13"/>
      <c r="E17" s="12"/>
      <c r="F17" s="44">
        <f>'Trimestre 1-Formato 2'!J16</f>
        <v>750000000</v>
      </c>
      <c r="G17" s="44"/>
      <c r="H17" s="44">
        <f>'[1]Banorte $1000  Feb 2016'!$F$13</f>
        <v>750000000</v>
      </c>
      <c r="I17" s="44">
        <v>0</v>
      </c>
      <c r="J17" s="44">
        <f t="shared" si="3"/>
        <v>0</v>
      </c>
      <c r="K17" s="44">
        <f>'[1]Banorte $1000  Feb 2016'!$I$13</f>
        <v>3825845.833333333</v>
      </c>
      <c r="L17" s="46"/>
    </row>
    <row r="18" spans="2:12" collapsed="1" x14ac:dyDescent="0.25">
      <c r="B18" s="14"/>
      <c r="C18" s="15"/>
      <c r="D18" s="13"/>
      <c r="E18" s="12" t="s">
        <v>60</v>
      </c>
      <c r="F18" s="44">
        <f>SUM(F19:F19)</f>
        <v>333333333.34000003</v>
      </c>
      <c r="G18" s="44">
        <f t="shared" ref="G18:I18" si="7">SUM(G19:G19)</f>
        <v>0</v>
      </c>
      <c r="H18" s="44">
        <f t="shared" si="7"/>
        <v>333333333.34000003</v>
      </c>
      <c r="I18" s="20">
        <f t="shared" si="7"/>
        <v>0</v>
      </c>
      <c r="J18" s="44">
        <f t="shared" si="3"/>
        <v>0</v>
      </c>
      <c r="K18" s="44">
        <f t="shared" ref="K18:L18" si="8">SUM(K19:K19)</f>
        <v>2611386.5741751632</v>
      </c>
      <c r="L18" s="46">
        <f t="shared" si="8"/>
        <v>0</v>
      </c>
    </row>
    <row r="19" spans="2:12" hidden="1" outlineLevel="1" x14ac:dyDescent="0.25">
      <c r="B19" s="14"/>
      <c r="C19" s="15"/>
      <c r="D19" s="13"/>
      <c r="E19" s="12"/>
      <c r="F19" s="44">
        <f>'Trimestre 1-Formato 2'!J18</f>
        <v>333333333.34000003</v>
      </c>
      <c r="G19" s="44"/>
      <c r="H19" s="44">
        <f>SUM('[1]BBVA 500 marzo 2016'!$F$18:$F$19)</f>
        <v>333333333.34000003</v>
      </c>
      <c r="I19" s="44">
        <v>0</v>
      </c>
      <c r="J19" s="44">
        <f t="shared" si="3"/>
        <v>0</v>
      </c>
      <c r="K19" s="44">
        <f>SUM('[1]BBVA 500 marzo 2016'!$I$18:$I$19)</f>
        <v>2611386.5741751632</v>
      </c>
      <c r="L19" s="46"/>
    </row>
    <row r="20" spans="2:12" collapsed="1" x14ac:dyDescent="0.25">
      <c r="B20" s="14"/>
      <c r="C20" s="15"/>
      <c r="D20" s="13"/>
      <c r="E20" s="12"/>
      <c r="F20" s="44"/>
      <c r="G20" s="44"/>
      <c r="H20" s="44"/>
      <c r="I20" s="20"/>
      <c r="J20" s="20"/>
      <c r="K20" s="44"/>
      <c r="L20" s="46"/>
    </row>
    <row r="21" spans="2:12" ht="15" hidden="1" customHeight="1" outlineLevel="1" x14ac:dyDescent="0.25">
      <c r="B21" s="14"/>
      <c r="C21" s="15"/>
      <c r="D21" s="13"/>
      <c r="E21" s="12"/>
      <c r="F21" s="44"/>
      <c r="G21" s="44"/>
      <c r="H21" s="44"/>
      <c r="I21" s="44"/>
      <c r="J21" s="44"/>
      <c r="K21" s="44"/>
      <c r="L21" s="46"/>
    </row>
    <row r="22" spans="2:12" collapsed="1" x14ac:dyDescent="0.25">
      <c r="B22" s="40"/>
      <c r="C22" s="25"/>
      <c r="D22" s="25" t="s">
        <v>54</v>
      </c>
      <c r="E22" s="26"/>
      <c r="F22" s="27">
        <f>SUM(F23)</f>
        <v>0</v>
      </c>
      <c r="G22" s="28">
        <f t="shared" ref="G22:L22" si="9">SUM(G23)</f>
        <v>0</v>
      </c>
      <c r="H22" s="28">
        <f t="shared" si="9"/>
        <v>0</v>
      </c>
      <c r="I22" s="28">
        <f t="shared" si="9"/>
        <v>0</v>
      </c>
      <c r="J22" s="28">
        <f>SUM(J23)</f>
        <v>0</v>
      </c>
      <c r="K22" s="28">
        <f t="shared" si="9"/>
        <v>0</v>
      </c>
      <c r="L22" s="29">
        <f t="shared" si="9"/>
        <v>0</v>
      </c>
    </row>
    <row r="23" spans="2:12" hidden="1" outlineLevel="1" x14ac:dyDescent="0.25">
      <c r="B23" s="14"/>
      <c r="C23" s="15"/>
      <c r="D23" s="15"/>
      <c r="E23" s="13"/>
      <c r="F23" s="19"/>
      <c r="G23" s="20"/>
      <c r="H23" s="20"/>
      <c r="I23" s="20"/>
      <c r="J23" s="20"/>
      <c r="K23" s="20"/>
      <c r="L23" s="21"/>
    </row>
    <row r="24" spans="2:12" collapsed="1" x14ac:dyDescent="0.25">
      <c r="B24" s="39"/>
      <c r="C24" s="25"/>
      <c r="D24" s="25" t="s">
        <v>7</v>
      </c>
      <c r="E24" s="26"/>
      <c r="F24" s="27">
        <f>SUM(F25)</f>
        <v>0</v>
      </c>
      <c r="G24" s="28">
        <f t="shared" ref="G24:L24" si="10">SUM(G25)</f>
        <v>0</v>
      </c>
      <c r="H24" s="28">
        <f t="shared" si="10"/>
        <v>0</v>
      </c>
      <c r="I24" s="28">
        <f t="shared" si="10"/>
        <v>0</v>
      </c>
      <c r="J24" s="28">
        <f t="shared" si="10"/>
        <v>0</v>
      </c>
      <c r="K24" s="28">
        <f t="shared" si="10"/>
        <v>0</v>
      </c>
      <c r="L24" s="29">
        <f t="shared" si="10"/>
        <v>0</v>
      </c>
    </row>
    <row r="25" spans="2:12" hidden="1" outlineLevel="1" x14ac:dyDescent="0.25">
      <c r="B25" s="11"/>
      <c r="C25" s="15"/>
      <c r="D25" s="15"/>
      <c r="E25" s="13"/>
      <c r="F25" s="19"/>
      <c r="G25" s="20"/>
      <c r="H25" s="20"/>
      <c r="I25" s="20"/>
      <c r="J25" s="20"/>
      <c r="K25" s="20"/>
      <c r="L25" s="21"/>
    </row>
    <row r="26" spans="2:12" collapsed="1" x14ac:dyDescent="0.25">
      <c r="B26" s="41"/>
      <c r="C26" s="32" t="s">
        <v>8</v>
      </c>
      <c r="D26" s="32"/>
      <c r="E26" s="32"/>
      <c r="F26" s="33">
        <f t="shared" ref="F26:L26" si="11">SUM(F27,F40,F45)</f>
        <v>20684256996.530003</v>
      </c>
      <c r="G26" s="33">
        <f t="shared" si="11"/>
        <v>0</v>
      </c>
      <c r="H26" s="33">
        <f>SUM(H27,H40,H45)</f>
        <v>56265042.039999999</v>
      </c>
      <c r="I26" s="33">
        <f t="shared" si="11"/>
        <v>0</v>
      </c>
      <c r="J26" s="33">
        <f>SUM(J27,J40,J45)</f>
        <v>20627991954.490002</v>
      </c>
      <c r="K26" s="33">
        <f t="shared" si="11"/>
        <v>316064596.77768642</v>
      </c>
      <c r="L26" s="34">
        <f t="shared" si="11"/>
        <v>0</v>
      </c>
    </row>
    <row r="27" spans="2:12" x14ac:dyDescent="0.25">
      <c r="B27" s="39"/>
      <c r="C27" s="24"/>
      <c r="D27" s="25" t="s">
        <v>55</v>
      </c>
      <c r="E27" s="26"/>
      <c r="F27" s="28">
        <f>SUM(F28:F39)</f>
        <v>20684256996.530003</v>
      </c>
      <c r="G27" s="28">
        <f>SUM(G28:G39)</f>
        <v>0</v>
      </c>
      <c r="H27" s="28">
        <f>SUM(H28:H39)</f>
        <v>56265042.039999999</v>
      </c>
      <c r="I27" s="28">
        <f t="shared" ref="I27:L27" si="12">SUM(I28:I35)</f>
        <v>0</v>
      </c>
      <c r="J27" s="28">
        <f>+F27+G27-H27+I27</f>
        <v>20627991954.490002</v>
      </c>
      <c r="K27" s="28">
        <f>SUM(K28:K39)</f>
        <v>316064596.77768642</v>
      </c>
      <c r="L27" s="29">
        <f t="shared" si="12"/>
        <v>0</v>
      </c>
    </row>
    <row r="28" spans="2:12" x14ac:dyDescent="0.25">
      <c r="B28" s="11"/>
      <c r="C28" s="10"/>
      <c r="D28" s="10"/>
      <c r="E28" s="60" t="s">
        <v>77</v>
      </c>
      <c r="F28" s="44">
        <f>'Trimestre 1-Formato 2'!J28</f>
        <v>4407496769.8600006</v>
      </c>
      <c r="G28" s="44">
        <v>0</v>
      </c>
      <c r="H28" s="44">
        <f>SUM('[2]4500 Interacciones'!$H$36:$H$38)</f>
        <v>12042855.51</v>
      </c>
      <c r="I28" s="44"/>
      <c r="J28" s="44">
        <f t="shared" ref="J28:J46" si="13">+F28+G28-H28+I28</f>
        <v>4395453914.3500004</v>
      </c>
      <c r="K28" s="44">
        <f>SUM('[2]4500 Interacciones'!$I$36:$I$38)</f>
        <v>65453595.455937788</v>
      </c>
      <c r="L28" s="21">
        <v>0</v>
      </c>
    </row>
    <row r="29" spans="2:12" x14ac:dyDescent="0.25">
      <c r="B29" s="11"/>
      <c r="C29" s="10"/>
      <c r="D29" s="10"/>
      <c r="E29" s="60" t="s">
        <v>78</v>
      </c>
      <c r="F29" s="44">
        <f>'Trimestre 1-Formato 2'!J29</f>
        <v>1352868113.3699999</v>
      </c>
      <c r="G29" s="44">
        <v>0</v>
      </c>
      <c r="H29" s="44">
        <f>SUM('[2]1400  Multiva'!$H$37:$H$39)</f>
        <v>6136028.96</v>
      </c>
      <c r="I29" s="44"/>
      <c r="J29" s="44">
        <f t="shared" si="13"/>
        <v>1346732084.4099998</v>
      </c>
      <c r="K29" s="44">
        <f>SUM('[2]1400  Multiva'!$I$37:$I$39)</f>
        <v>20743345.010945402</v>
      </c>
      <c r="L29" s="21">
        <v>0</v>
      </c>
    </row>
    <row r="30" spans="2:12" x14ac:dyDescent="0.25">
      <c r="B30" s="11"/>
      <c r="C30" s="10"/>
      <c r="D30" s="10"/>
      <c r="E30" s="60" t="s">
        <v>79</v>
      </c>
      <c r="F30" s="44">
        <f>'Trimestre 1-Formato 2'!J30</f>
        <v>1680837585.6400003</v>
      </c>
      <c r="G30" s="44">
        <v>0</v>
      </c>
      <c r="H30" s="44">
        <f>SUM('[2]1716 BBVA (2)'!$H$36:$H$38)</f>
        <v>4592648.66</v>
      </c>
      <c r="I30" s="44"/>
      <c r="J30" s="44">
        <f t="shared" si="13"/>
        <v>1676244936.9800003</v>
      </c>
      <c r="K30" s="44">
        <f>SUM('[2]1716 BBVA (2)'!$I$36:$I$38)</f>
        <v>25539835.24332102</v>
      </c>
      <c r="L30" s="21">
        <v>0</v>
      </c>
    </row>
    <row r="31" spans="2:12" x14ac:dyDescent="0.25">
      <c r="B31" s="11"/>
      <c r="C31" s="10"/>
      <c r="D31" s="10"/>
      <c r="E31" s="60" t="s">
        <v>80</v>
      </c>
      <c r="F31" s="44">
        <f>'Trimestre 1-Formato 2'!J31</f>
        <v>1986784720.9400003</v>
      </c>
      <c r="G31" s="44">
        <v>0</v>
      </c>
      <c r="H31" s="44">
        <f>SUM('[2]2028 BBVA (3)'!$H$36:$H$38)</f>
        <v>5428605.5200000005</v>
      </c>
      <c r="I31" s="44"/>
      <c r="J31" s="44">
        <f t="shared" si="13"/>
        <v>1981356115.4200003</v>
      </c>
      <c r="K31" s="44">
        <f>SUM('[2]2028 BBVA (3)'!$I$36:$I$38)</f>
        <v>30188612.433589071</v>
      </c>
      <c r="L31" s="21">
        <v>0</v>
      </c>
    </row>
    <row r="32" spans="2:12" x14ac:dyDescent="0.25">
      <c r="B32" s="11"/>
      <c r="C32" s="10"/>
      <c r="D32" s="10"/>
      <c r="E32" s="60" t="s">
        <v>81</v>
      </c>
      <c r="F32" s="44">
        <f>'Trimestre 1-Formato 2'!J32</f>
        <v>1351632342.7399998</v>
      </c>
      <c r="G32" s="44">
        <v>0</v>
      </c>
      <c r="H32" s="44">
        <f>SUM('[2]1380 BBVA'!$H$36:$H$38)</f>
        <v>3693142.3499999996</v>
      </c>
      <c r="I32" s="44"/>
      <c r="J32" s="44">
        <f t="shared" si="13"/>
        <v>1347939200.3899999</v>
      </c>
      <c r="K32" s="44">
        <f>SUM('[2]1380 BBVA'!$I$36:$I$38)</f>
        <v>20537657.91413828</v>
      </c>
      <c r="L32" s="21">
        <v>0</v>
      </c>
    </row>
    <row r="33" spans="2:12" x14ac:dyDescent="0.25">
      <c r="B33" s="11"/>
      <c r="C33" s="10"/>
      <c r="D33" s="10"/>
      <c r="E33" s="60" t="s">
        <v>82</v>
      </c>
      <c r="F33" s="44">
        <f>'Trimestre 1-Formato 2'!J33</f>
        <v>1973534859.4899998</v>
      </c>
      <c r="G33" s="44">
        <v>0</v>
      </c>
      <c r="H33" s="44">
        <f>SUM('[2]Banorte 1,995mdp'!$H$24:$H$26)</f>
        <v>4572753.6500000004</v>
      </c>
      <c r="I33" s="44"/>
      <c r="J33" s="44">
        <f t="shared" si="13"/>
        <v>1968962105.8399997</v>
      </c>
      <c r="K33" s="44">
        <f>SUM('[2]Banorte 1,995mdp'!$I$24:$I$26)</f>
        <v>29487344.815363485</v>
      </c>
      <c r="L33" s="21">
        <v>0</v>
      </c>
    </row>
    <row r="34" spans="2:12" x14ac:dyDescent="0.25">
      <c r="B34" s="11"/>
      <c r="C34" s="10"/>
      <c r="D34" s="10"/>
      <c r="E34" s="60" t="s">
        <v>83</v>
      </c>
      <c r="F34" s="44">
        <f>'Trimestre 1-Formato 2'!J34</f>
        <v>989169263.25999975</v>
      </c>
      <c r="G34" s="44">
        <v>0</v>
      </c>
      <c r="H34" s="44">
        <f>SUM('[2]Santander 1,000'!$H$24:$H$26)</f>
        <v>2291941.9700000002</v>
      </c>
      <c r="I34" s="44"/>
      <c r="J34" s="44">
        <f t="shared" si="13"/>
        <v>986877321.28999972</v>
      </c>
      <c r="K34" s="44">
        <f>SUM('[2]Santander 1,000'!$I$24:$I$26)</f>
        <v>12318345.748700775</v>
      </c>
      <c r="L34" s="21">
        <v>0</v>
      </c>
    </row>
    <row r="35" spans="2:12" x14ac:dyDescent="0.25">
      <c r="B35" s="11"/>
      <c r="C35" s="10"/>
      <c r="D35" s="10"/>
      <c r="E35" s="60" t="s">
        <v>84</v>
      </c>
      <c r="F35" s="44">
        <f>'Trimestre 1-Formato 2'!J35</f>
        <v>1316973203.54</v>
      </c>
      <c r="G35" s="44">
        <v>0</v>
      </c>
      <c r="H35" s="44">
        <f>SUM('[2]Banorte 1,320mdp'!$H$12:$H$14)</f>
        <v>2591522.6</v>
      </c>
      <c r="I35" s="44"/>
      <c r="J35" s="44">
        <f t="shared" si="13"/>
        <v>1314381680.9400001</v>
      </c>
      <c r="K35" s="44">
        <f>SUM('[2]Banorte 1,320mdp'!$I$12:$I$14)</f>
        <v>18378803.502114385</v>
      </c>
      <c r="L35" s="21">
        <v>0</v>
      </c>
    </row>
    <row r="36" spans="2:12" x14ac:dyDescent="0.25">
      <c r="B36" s="11"/>
      <c r="C36" s="10"/>
      <c r="D36" s="10"/>
      <c r="E36" s="60"/>
      <c r="F36" s="20"/>
      <c r="G36" s="20"/>
      <c r="H36" s="20"/>
      <c r="I36" s="20"/>
      <c r="J36" s="20"/>
      <c r="K36" s="20"/>
      <c r="L36" s="21"/>
    </row>
    <row r="37" spans="2:12" x14ac:dyDescent="0.25">
      <c r="B37" s="11"/>
      <c r="C37" s="10"/>
      <c r="D37" s="10"/>
      <c r="E37" s="60" t="s">
        <v>85</v>
      </c>
      <c r="F37" s="44">
        <f>'Trimestre 1-Formato 2'!J37</f>
        <v>4644855667.4700003</v>
      </c>
      <c r="G37" s="44">
        <v>0</v>
      </c>
      <c r="H37" s="44">
        <f>SUM('[3]5000 inbursa reest 2014'!$E$24:$E$26)</f>
        <v>12316628.369999999</v>
      </c>
      <c r="I37" s="44"/>
      <c r="J37" s="20">
        <f t="shared" si="13"/>
        <v>4632539039.1000004</v>
      </c>
      <c r="K37" s="44">
        <f>SUM('[3]5000 inbursa reest 2014'!$I$24:$I$26)</f>
        <v>77139879.112804413</v>
      </c>
      <c r="L37" s="46">
        <v>0</v>
      </c>
    </row>
    <row r="38" spans="2:12" x14ac:dyDescent="0.25">
      <c r="B38" s="11"/>
      <c r="C38" s="10"/>
      <c r="D38" s="10"/>
      <c r="E38" s="60" t="s">
        <v>86</v>
      </c>
      <c r="F38" s="44">
        <f>'Trimestre 1-Formato 2'!J38</f>
        <v>980104470.21999991</v>
      </c>
      <c r="G38" s="44">
        <v>0</v>
      </c>
      <c r="H38" s="44">
        <f>SUM('[4]1160 inbursa reest 2014'!$E$22:$E$24)</f>
        <v>2598914.4500000002</v>
      </c>
      <c r="I38" s="44"/>
      <c r="J38" s="20">
        <f t="shared" si="13"/>
        <v>977505555.76999986</v>
      </c>
      <c r="K38" s="44">
        <f>SUM('[4]1160 inbursa reest 2014'!$I$22:$I$24)</f>
        <v>16277177.54077179</v>
      </c>
      <c r="L38" s="46">
        <v>0</v>
      </c>
    </row>
    <row r="39" spans="2:12" x14ac:dyDescent="0.25">
      <c r="B39" s="11"/>
      <c r="C39" s="10"/>
      <c r="D39" s="10"/>
      <c r="E39" s="16"/>
      <c r="F39" s="20"/>
      <c r="G39" s="20"/>
      <c r="H39" s="20"/>
      <c r="I39" s="20"/>
      <c r="J39" s="20"/>
      <c r="K39" s="20"/>
      <c r="L39" s="21"/>
    </row>
    <row r="40" spans="2:12" x14ac:dyDescent="0.25">
      <c r="B40" s="39"/>
      <c r="C40" s="25"/>
      <c r="D40" s="25" t="s">
        <v>56</v>
      </c>
      <c r="E40" s="26"/>
      <c r="F40" s="28">
        <f>SUM(F41)</f>
        <v>0</v>
      </c>
      <c r="G40" s="28">
        <f t="shared" ref="G40:L40" si="14">SUM(G41)</f>
        <v>0</v>
      </c>
      <c r="H40" s="28">
        <f t="shared" si="14"/>
        <v>0</v>
      </c>
      <c r="I40" s="28">
        <f t="shared" si="14"/>
        <v>0</v>
      </c>
      <c r="J40" s="28">
        <f>+F40+G40-H40+I40</f>
        <v>0</v>
      </c>
      <c r="K40" s="28">
        <f t="shared" si="14"/>
        <v>0</v>
      </c>
      <c r="L40" s="29">
        <f t="shared" si="14"/>
        <v>0</v>
      </c>
    </row>
    <row r="41" spans="2:12" x14ac:dyDescent="0.25">
      <c r="B41" s="11"/>
      <c r="C41" s="15"/>
      <c r="D41" s="15"/>
      <c r="E41" s="13"/>
      <c r="F41" s="20"/>
      <c r="G41" s="20"/>
      <c r="H41" s="20"/>
      <c r="I41" s="20"/>
      <c r="J41" s="20">
        <f t="shared" si="13"/>
        <v>0</v>
      </c>
      <c r="K41" s="20"/>
      <c r="L41" s="21"/>
    </row>
    <row r="42" spans="2:12" x14ac:dyDescent="0.25">
      <c r="B42" s="11"/>
      <c r="C42" s="15"/>
      <c r="D42" s="15"/>
      <c r="E42" s="13"/>
      <c r="F42" s="20"/>
      <c r="G42" s="20"/>
      <c r="H42" s="20"/>
      <c r="I42" s="20"/>
      <c r="J42" s="20">
        <f t="shared" si="13"/>
        <v>0</v>
      </c>
      <c r="K42" s="20"/>
      <c r="L42" s="21"/>
    </row>
    <row r="43" spans="2:12" x14ac:dyDescent="0.25">
      <c r="B43" s="11"/>
      <c r="C43" s="15"/>
      <c r="D43" s="15"/>
      <c r="E43" s="13"/>
      <c r="F43" s="20"/>
      <c r="G43" s="20"/>
      <c r="H43" s="20"/>
      <c r="I43" s="20"/>
      <c r="J43" s="20">
        <f t="shared" si="13"/>
        <v>0</v>
      </c>
      <c r="K43" s="20"/>
      <c r="L43" s="21"/>
    </row>
    <row r="44" spans="2:12" x14ac:dyDescent="0.25">
      <c r="B44" s="11"/>
      <c r="C44" s="15"/>
      <c r="D44" s="15"/>
      <c r="E44" s="13"/>
      <c r="F44" s="20"/>
      <c r="G44" s="20"/>
      <c r="H44" s="20"/>
      <c r="I44" s="20"/>
      <c r="J44" s="20">
        <f t="shared" si="13"/>
        <v>0</v>
      </c>
      <c r="K44" s="20"/>
      <c r="L44" s="21"/>
    </row>
    <row r="45" spans="2:12" x14ac:dyDescent="0.25">
      <c r="B45" s="39"/>
      <c r="C45" s="25"/>
      <c r="D45" s="25" t="s">
        <v>17</v>
      </c>
      <c r="E45" s="26"/>
      <c r="F45" s="28">
        <f>SUM(F46)</f>
        <v>0</v>
      </c>
      <c r="G45" s="28">
        <f t="shared" ref="G45:I45" si="15">SUM(G46)</f>
        <v>0</v>
      </c>
      <c r="H45" s="28">
        <f t="shared" si="15"/>
        <v>0</v>
      </c>
      <c r="I45" s="28">
        <f t="shared" si="15"/>
        <v>0</v>
      </c>
      <c r="J45" s="28">
        <f>+F45+G45-H45+I45</f>
        <v>0</v>
      </c>
      <c r="K45" s="28">
        <f t="shared" ref="K45:L45" si="16">SUM(K46)</f>
        <v>0</v>
      </c>
      <c r="L45" s="29">
        <f t="shared" si="16"/>
        <v>0</v>
      </c>
    </row>
    <row r="46" spans="2:12" x14ac:dyDescent="0.25">
      <c r="B46" s="11"/>
      <c r="C46" s="15"/>
      <c r="D46" s="15"/>
      <c r="E46" s="13"/>
      <c r="F46" s="20"/>
      <c r="G46" s="20"/>
      <c r="H46" s="20"/>
      <c r="I46" s="20"/>
      <c r="J46" s="20">
        <f t="shared" si="13"/>
        <v>0</v>
      </c>
      <c r="K46" s="20"/>
      <c r="L46" s="21"/>
    </row>
    <row r="47" spans="2:12" x14ac:dyDescent="0.25">
      <c r="B47" s="50" t="s">
        <v>18</v>
      </c>
      <c r="C47" s="51"/>
      <c r="D47" s="51"/>
      <c r="E47" s="51"/>
      <c r="F47" s="52"/>
      <c r="G47" s="52"/>
      <c r="H47" s="52"/>
      <c r="I47" s="52"/>
      <c r="J47" s="52"/>
      <c r="K47" s="52"/>
      <c r="L47" s="53"/>
    </row>
    <row r="48" spans="2:12" x14ac:dyDescent="0.25">
      <c r="B48" s="17" t="s">
        <v>19</v>
      </c>
      <c r="C48" s="18"/>
      <c r="D48" s="18"/>
      <c r="E48" s="18"/>
      <c r="F48" s="49">
        <f t="shared" ref="F48:L48" si="17">F7+F47</f>
        <v>22867590329.870003</v>
      </c>
      <c r="G48" s="49">
        <f t="shared" si="17"/>
        <v>2913934381</v>
      </c>
      <c r="H48" s="49">
        <f t="shared" si="17"/>
        <v>2114598375.3800001</v>
      </c>
      <c r="I48" s="49">
        <f t="shared" si="17"/>
        <v>0</v>
      </c>
      <c r="J48" s="49">
        <f t="shared" si="17"/>
        <v>23666926335.490002</v>
      </c>
      <c r="K48" s="49">
        <f t="shared" si="17"/>
        <v>366040098.87736118</v>
      </c>
      <c r="L48" s="49">
        <f t="shared" si="17"/>
        <v>185600000</v>
      </c>
    </row>
    <row r="49" spans="2:13" x14ac:dyDescent="0.25">
      <c r="B49" s="54" t="s">
        <v>20</v>
      </c>
      <c r="C49" s="55"/>
      <c r="D49" s="55"/>
      <c r="E49" s="55"/>
      <c r="F49" s="56"/>
      <c r="G49" s="56"/>
      <c r="H49" s="56"/>
      <c r="I49" s="56"/>
      <c r="J49" s="56"/>
      <c r="K49" s="56"/>
      <c r="L49" s="57"/>
    </row>
    <row r="50" spans="2:13" x14ac:dyDescent="0.25">
      <c r="B50" s="11"/>
      <c r="D50" s="63" t="s">
        <v>65</v>
      </c>
      <c r="E50" s="61" t="s">
        <v>58</v>
      </c>
      <c r="F50" s="20">
        <f>'Trimestre 1-Formato 2'!J50</f>
        <v>309434461.60000086</v>
      </c>
      <c r="G50" s="20">
        <v>0</v>
      </c>
      <c r="H50" s="72">
        <v>0</v>
      </c>
      <c r="I50" s="20">
        <v>0</v>
      </c>
      <c r="J50" s="20">
        <f>'[5]HSBC 416''136'!$L$81</f>
        <v>301431846.22000092</v>
      </c>
      <c r="K50" s="72">
        <f>SUM('[5]HSBC 416''136'!$J$79:$J$81)</f>
        <v>4232583.2777940128</v>
      </c>
      <c r="L50" s="21"/>
    </row>
    <row r="51" spans="2:13" x14ac:dyDescent="0.25">
      <c r="B51" s="11"/>
      <c r="D51" s="63" t="s">
        <v>64</v>
      </c>
      <c r="E51" s="61" t="s">
        <v>63</v>
      </c>
      <c r="F51" s="20">
        <f>'Trimestre 1-Formato 2'!J51</f>
        <v>312102000.06000084</v>
      </c>
      <c r="G51" s="20">
        <v>0</v>
      </c>
      <c r="H51" s="72">
        <v>0</v>
      </c>
      <c r="I51" s="20">
        <v>0</v>
      </c>
      <c r="J51" s="20">
        <f>'[5]Santander 416''136'!$L$80</f>
        <v>304099384.6800009</v>
      </c>
      <c r="K51" s="72">
        <f>SUM('[5]Santander 416''136'!$J$78:$J$80)</f>
        <v>3833778.8678556224</v>
      </c>
      <c r="L51" s="21"/>
    </row>
    <row r="52" spans="2:13" x14ac:dyDescent="0.25">
      <c r="B52" s="11"/>
      <c r="D52" s="63" t="s">
        <v>66</v>
      </c>
      <c r="E52" s="60" t="s">
        <v>87</v>
      </c>
      <c r="F52" s="77">
        <v>3000000000</v>
      </c>
      <c r="G52" s="20">
        <v>6000000000</v>
      </c>
      <c r="H52" s="71">
        <f>'[6]Inbursa 6000 mdp '!$L$8+3000000000</f>
        <v>3010963676.5</v>
      </c>
      <c r="I52" s="20">
        <v>0</v>
      </c>
      <c r="J52" s="20">
        <f>+F52+G52-H52+I52</f>
        <v>5989036323.5</v>
      </c>
      <c r="K52" s="71">
        <f>'[6]Inbursa 6000 mdp '!$I$8</f>
        <v>0</v>
      </c>
      <c r="L52" s="46"/>
    </row>
    <row r="53" spans="2:13" x14ac:dyDescent="0.25">
      <c r="B53" s="11"/>
      <c r="D53" s="63" t="s">
        <v>67</v>
      </c>
      <c r="E53" s="60" t="s">
        <v>93</v>
      </c>
      <c r="F53" s="77">
        <f>'[7]80634'!$N$28</f>
        <v>2625149999</v>
      </c>
      <c r="G53" s="20">
        <v>0</v>
      </c>
      <c r="H53" s="71">
        <f>SUM('[7]80634'!$H$29:$H$31)</f>
        <v>106650000.00000007</v>
      </c>
      <c r="I53" s="20">
        <v>0</v>
      </c>
      <c r="J53" s="20">
        <f>+F53+G53-H53+I53</f>
        <v>2518499999</v>
      </c>
      <c r="K53" s="71">
        <f>SUM('[7]80634'!$L$29:$L$31)</f>
        <v>108209553.83320417</v>
      </c>
      <c r="L53" s="46"/>
    </row>
    <row r="54" spans="2:13" x14ac:dyDescent="0.25">
      <c r="B54" s="11"/>
      <c r="D54" s="63" t="s">
        <v>72</v>
      </c>
      <c r="E54" s="60" t="s">
        <v>94</v>
      </c>
      <c r="F54" s="77"/>
      <c r="G54" s="20"/>
      <c r="H54" s="71"/>
      <c r="I54" s="20"/>
      <c r="J54" s="20"/>
      <c r="K54" s="71"/>
      <c r="L54" s="46"/>
    </row>
    <row r="55" spans="2:13" x14ac:dyDescent="0.25">
      <c r="B55" s="11"/>
      <c r="L55" s="59"/>
    </row>
    <row r="56" spans="2:13" s="6" customFormat="1" x14ac:dyDescent="0.25">
      <c r="B56" s="54" t="s">
        <v>21</v>
      </c>
      <c r="C56" s="55"/>
      <c r="D56" s="55"/>
      <c r="E56" s="55"/>
      <c r="F56" s="56"/>
      <c r="G56" s="56"/>
      <c r="H56" s="56"/>
      <c r="I56" s="56"/>
      <c r="J56" s="56"/>
      <c r="K56" s="56"/>
      <c r="L56" s="57"/>
      <c r="M56"/>
    </row>
    <row r="57" spans="2:13" x14ac:dyDescent="0.25">
      <c r="B57" s="14"/>
      <c r="C57" s="15"/>
      <c r="D57" s="63" t="s">
        <v>65</v>
      </c>
      <c r="E57" s="62" t="s">
        <v>68</v>
      </c>
      <c r="F57" s="44">
        <f>'Trimestre 1-Formato 2'!J57</f>
        <v>925601600</v>
      </c>
      <c r="G57" s="44">
        <v>0</v>
      </c>
      <c r="H57" s="44">
        <v>0</v>
      </c>
      <c r="I57" s="48">
        <f>IF(F57&gt;J57,(F57-J57)*-1,(F57-J57)*-1)</f>
        <v>-21113400</v>
      </c>
      <c r="J57" s="44">
        <f>'[8]Banobras 1400'!$L$55</f>
        <v>904488200</v>
      </c>
      <c r="K57" s="44">
        <f>SUM('[8]Banobras 1400'!$H$53:$H$55)</f>
        <v>34149778.586934932</v>
      </c>
      <c r="L57" s="160">
        <f>SUM('[9]Credito Corto Plazo'!$I$72,'[9]Credito Corto Plazo'!$I$73,'[9]Credito Corto Plazo'!$I$82:$I$87)</f>
        <v>69552.189999999988</v>
      </c>
    </row>
    <row r="58" spans="2:13" x14ac:dyDescent="0.25">
      <c r="B58" s="14"/>
      <c r="C58" s="15"/>
      <c r="D58" s="63" t="s">
        <v>64</v>
      </c>
      <c r="E58" s="62" t="s">
        <v>69</v>
      </c>
      <c r="F58" s="44">
        <f>'Trimestre 1-Formato 2'!J58</f>
        <v>804408000</v>
      </c>
      <c r="G58" s="44">
        <v>0</v>
      </c>
      <c r="H58" s="44">
        <v>0</v>
      </c>
      <c r="I58" s="48">
        <f>IF(F58&gt;J58,(F58-J58)*-1,(F58-J58)*-1)</f>
        <v>-18681600</v>
      </c>
      <c r="J58" s="44">
        <f>'[8]Banobras 1200'!$M$60</f>
        <v>785726400</v>
      </c>
      <c r="K58" s="44">
        <f>SUM('[8]Banobras 1200'!$I$58:$I$60)</f>
        <v>27391000</v>
      </c>
      <c r="L58" s="161"/>
    </row>
    <row r="59" spans="2:13" x14ac:dyDescent="0.25">
      <c r="B59" s="14"/>
      <c r="C59" s="15"/>
      <c r="D59" s="63" t="s">
        <v>66</v>
      </c>
      <c r="E59" s="62" t="s">
        <v>70</v>
      </c>
      <c r="F59" s="44">
        <f>'Trimestre 1-Formato 2'!J59</f>
        <v>702251640</v>
      </c>
      <c r="G59" s="44">
        <v>0</v>
      </c>
      <c r="H59" s="44">
        <v>0</v>
      </c>
      <c r="I59" s="48">
        <f>IF(F59&gt;J59,(F59-J59)*-1,(F59-J59)*-1)</f>
        <v>-16873860</v>
      </c>
      <c r="J59" s="44">
        <f>'[8]Banobras 1020'!$J$46</f>
        <v>685377780</v>
      </c>
      <c r="K59" s="44">
        <f>SUM('[8]Banobras 1020'!$G$44:$G$46)</f>
        <v>21162049.999999996</v>
      </c>
      <c r="L59" s="161"/>
    </row>
    <row r="60" spans="2:13" x14ac:dyDescent="0.25">
      <c r="B60" s="14"/>
      <c r="C60" s="15"/>
      <c r="D60" s="63" t="s">
        <v>67</v>
      </c>
      <c r="E60" s="62" t="s">
        <v>71</v>
      </c>
      <c r="F60" s="44">
        <f>'Trimestre 1-Formato 2'!J60</f>
        <v>637014515</v>
      </c>
      <c r="G60" s="44">
        <v>0</v>
      </c>
      <c r="H60" s="44">
        <v>0</v>
      </c>
      <c r="I60" s="48">
        <f>IF(F60&gt;J60,(F60-J60)*-1,(F60-J60)*-1)</f>
        <v>0</v>
      </c>
      <c r="J60" s="44">
        <f>'[8]Banobras 636.92'!$I$48</f>
        <v>637014515</v>
      </c>
      <c r="K60" s="44">
        <f>SUM('[8]Banobras 636.92'!$H$46:$H$48)</f>
        <v>13057179.182025</v>
      </c>
      <c r="L60" s="161"/>
    </row>
    <row r="61" spans="2:13" x14ac:dyDescent="0.25">
      <c r="B61" s="14"/>
      <c r="C61" s="16"/>
      <c r="D61" s="47"/>
      <c r="E61" s="47"/>
      <c r="F61" s="44"/>
      <c r="G61" s="44"/>
      <c r="H61" s="44"/>
      <c r="I61" s="44"/>
      <c r="J61" s="44"/>
      <c r="K61" s="44"/>
      <c r="L61" s="46"/>
    </row>
    <row r="62" spans="2:13" x14ac:dyDescent="0.25">
      <c r="B62" s="7"/>
      <c r="C62" s="8"/>
      <c r="D62" s="9"/>
      <c r="E62" s="9"/>
      <c r="F62" s="22"/>
      <c r="G62" s="22"/>
      <c r="H62" s="22"/>
      <c r="I62" s="22"/>
      <c r="J62" s="22"/>
      <c r="K62" s="22"/>
      <c r="L62" s="23"/>
    </row>
    <row r="63" spans="2:13" x14ac:dyDescent="0.25">
      <c r="B63" s="15"/>
      <c r="C63" s="15"/>
      <c r="D63" s="13"/>
      <c r="E63" s="13"/>
      <c r="F63" s="20"/>
      <c r="G63" s="20"/>
      <c r="H63" s="20"/>
      <c r="I63" s="20"/>
      <c r="J63" s="20"/>
      <c r="K63" s="20"/>
      <c r="L63" s="20"/>
    </row>
    <row r="64" spans="2:13" ht="20.25" customHeight="1" x14ac:dyDescent="0.25">
      <c r="B64" s="162" t="s">
        <v>23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</row>
    <row r="65" spans="2:12" ht="20.25" customHeight="1" x14ac:dyDescent="0.25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</row>
    <row r="66" spans="2:12" ht="20.25" customHeight="1" x14ac:dyDescent="0.25">
      <c r="B66" s="163" t="s">
        <v>22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</row>
    <row r="67" spans="2:12" ht="20.25" customHeight="1" x14ac:dyDescent="0.25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</row>
    <row r="68" spans="2:12" ht="20.25" customHeight="1" x14ac:dyDescent="0.25"/>
    <row r="69" spans="2:12" ht="20.25" customHeight="1" x14ac:dyDescent="0.25"/>
    <row r="70" spans="2:12" ht="20.25" customHeight="1" x14ac:dyDescent="0.25"/>
    <row r="71" spans="2:12" ht="20.25" customHeight="1" x14ac:dyDescent="0.25"/>
    <row r="72" spans="2:12" ht="20.25" customHeight="1" x14ac:dyDescent="0.25"/>
  </sheetData>
  <mergeCells count="9">
    <mergeCell ref="L57:L60"/>
    <mergeCell ref="B64:L65"/>
    <mergeCell ref="B66:L67"/>
    <mergeCell ref="B2:L2"/>
    <mergeCell ref="B3:L3"/>
    <mergeCell ref="B4:L4"/>
    <mergeCell ref="B5:L5"/>
    <mergeCell ref="B6:E6"/>
    <mergeCell ref="L12:L13"/>
  </mergeCells>
  <pageMargins left="0.62992125984251968" right="0.62992125984251968" top="0.74803149606299213" bottom="0.74803149606299213" header="0.31496062992125984" footer="0.31496062992125984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72"/>
  <sheetViews>
    <sheetView showGridLines="0" zoomScale="70" zoomScaleNormal="70" workbookViewId="0">
      <pane xSplit="5" ySplit="6" topLeftCell="F7" activePane="bottomRight" state="frozen"/>
      <selection activeCell="L57" sqref="L57:L60"/>
      <selection pane="topRight" activeCell="L57" sqref="L57:L60"/>
      <selection pane="bottomLeft" activeCell="L57" sqref="L57:L60"/>
      <selection pane="bottomRight" activeCell="L57" sqref="L57:L60"/>
    </sheetView>
  </sheetViews>
  <sheetFormatPr baseColWidth="10" defaultRowHeight="15" outlineLevelRow="1" x14ac:dyDescent="0.25"/>
  <cols>
    <col min="1" max="1" width="3.140625" customWidth="1"/>
    <col min="2" max="2" width="3.42578125" customWidth="1"/>
    <col min="3" max="3" width="2.7109375" customWidth="1"/>
    <col min="4" max="4" width="4.140625" customWidth="1"/>
    <col min="5" max="5" width="30" customWidth="1"/>
    <col min="6" max="12" width="24.28515625" customWidth="1"/>
    <col min="13" max="13" width="4.5703125" customWidth="1"/>
  </cols>
  <sheetData>
    <row r="1" spans="1:12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8.75" x14ac:dyDescent="0.25">
      <c r="B2" s="165" t="s">
        <v>50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s="1" customFormat="1" ht="17.25" x14ac:dyDescent="0.25">
      <c r="B3" s="166" t="s">
        <v>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1" customFormat="1" ht="15.75" x14ac:dyDescent="0.25">
      <c r="B4" s="167" t="s">
        <v>98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1" customFormat="1" x14ac:dyDescent="0.25">
      <c r="B5" s="168" t="s">
        <v>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67.5" customHeight="1" x14ac:dyDescent="0.25">
      <c r="B6" s="169" t="s">
        <v>9</v>
      </c>
      <c r="C6" s="170"/>
      <c r="D6" s="170"/>
      <c r="E6" s="170"/>
      <c r="F6" s="58" t="s">
        <v>99</v>
      </c>
      <c r="G6" s="58" t="s">
        <v>11</v>
      </c>
      <c r="H6" s="58" t="s">
        <v>12</v>
      </c>
      <c r="I6" s="58" t="s">
        <v>13</v>
      </c>
      <c r="J6" s="58" t="s">
        <v>14</v>
      </c>
      <c r="K6" s="58" t="s">
        <v>15</v>
      </c>
      <c r="L6" s="58" t="s">
        <v>16</v>
      </c>
    </row>
    <row r="7" spans="1:12" x14ac:dyDescent="0.25">
      <c r="B7" s="54" t="s">
        <v>5</v>
      </c>
      <c r="C7" s="55"/>
      <c r="D7" s="55"/>
      <c r="E7" s="55"/>
      <c r="F7" s="56">
        <f>SUM(F8,F26)</f>
        <v>23666926335.490002</v>
      </c>
      <c r="G7" s="56">
        <f t="shared" ref="G7:L7" si="0">SUM(G8,G26)</f>
        <v>0</v>
      </c>
      <c r="H7" s="56">
        <f t="shared" si="0"/>
        <v>3097103202.4200001</v>
      </c>
      <c r="I7" s="56">
        <f t="shared" si="0"/>
        <v>0</v>
      </c>
      <c r="J7" s="56">
        <f>SUM(J8,J26)</f>
        <v>20569823133.070004</v>
      </c>
      <c r="K7" s="56">
        <f t="shared" si="0"/>
        <v>363418001.67447543</v>
      </c>
      <c r="L7" s="57">
        <f t="shared" si="0"/>
        <v>0</v>
      </c>
    </row>
    <row r="8" spans="1:12" x14ac:dyDescent="0.25">
      <c r="B8" s="38"/>
      <c r="C8" s="32" t="s">
        <v>6</v>
      </c>
      <c r="D8" s="35"/>
      <c r="E8" s="35"/>
      <c r="F8" s="78">
        <f>SUM(F9,F22,F24)</f>
        <v>3038934381</v>
      </c>
      <c r="G8" s="37">
        <f t="shared" ref="G8:L8" si="1">SUM(G9,G22,G24)</f>
        <v>0</v>
      </c>
      <c r="H8" s="37">
        <f t="shared" si="1"/>
        <v>3038934381</v>
      </c>
      <c r="I8" s="37">
        <f>SUM(I9,I22,I24)</f>
        <v>0</v>
      </c>
      <c r="J8" s="37">
        <f t="shared" si="1"/>
        <v>0</v>
      </c>
      <c r="K8" s="37">
        <f t="shared" si="1"/>
        <v>37666355.582234368</v>
      </c>
      <c r="L8" s="45">
        <f t="shared" si="1"/>
        <v>0</v>
      </c>
    </row>
    <row r="9" spans="1:12" x14ac:dyDescent="0.25">
      <c r="B9" s="39"/>
      <c r="C9" s="30"/>
      <c r="D9" s="31" t="s">
        <v>53</v>
      </c>
      <c r="E9" s="26"/>
      <c r="F9" s="79">
        <f>SUM(F10,F14,F16,F18,F20)</f>
        <v>3038934381</v>
      </c>
      <c r="G9" s="28">
        <f>SUM(G10,G14,G16,G18,G20)</f>
        <v>0</v>
      </c>
      <c r="H9" s="28">
        <f>SUM(H10,H14,H16,H18,H20)</f>
        <v>3038934381</v>
      </c>
      <c r="I9" s="28">
        <f>SUM(I10,I14,I16,I18,I20)</f>
        <v>0</v>
      </c>
      <c r="J9" s="28">
        <f>F9+G9-H9+I9</f>
        <v>0</v>
      </c>
      <c r="K9" s="28">
        <f t="shared" ref="K9:L9" si="2">SUM(K10,K14,K16,K18,K20)</f>
        <v>37666355.582234368</v>
      </c>
      <c r="L9" s="29">
        <f t="shared" si="2"/>
        <v>0</v>
      </c>
    </row>
    <row r="10" spans="1:12" x14ac:dyDescent="0.25">
      <c r="B10" s="14"/>
      <c r="C10" s="15"/>
      <c r="D10" s="13"/>
      <c r="E10" s="16" t="s">
        <v>57</v>
      </c>
      <c r="F10" s="44">
        <f>SUM(F11:F$13)</f>
        <v>2913934381</v>
      </c>
      <c r="G10" s="44">
        <f>SUM(G11:G$13)</f>
        <v>0</v>
      </c>
      <c r="H10" s="44">
        <f>SUM(H11:H$13)</f>
        <v>2913934381</v>
      </c>
      <c r="I10" s="19">
        <f>SUM(I11:I$13)</f>
        <v>0</v>
      </c>
      <c r="J10" s="20">
        <f t="shared" ref="J10:J19" si="3">+F10+G10-H10+I10</f>
        <v>0</v>
      </c>
      <c r="K10" s="44">
        <f>SUM(K11:K$13)</f>
        <v>37025029.19334548</v>
      </c>
      <c r="L10" s="46">
        <f>SUM(L11:L$13)</f>
        <v>0</v>
      </c>
    </row>
    <row r="11" spans="1:12" hidden="1" outlineLevel="1" x14ac:dyDescent="0.25">
      <c r="B11" s="14"/>
      <c r="C11" s="15"/>
      <c r="D11" s="13"/>
      <c r="E11" s="16"/>
      <c r="F11" s="44"/>
      <c r="G11" s="44"/>
      <c r="H11" s="44"/>
      <c r="I11" s="44"/>
      <c r="J11" s="44"/>
      <c r="K11" s="44"/>
      <c r="L11" s="46"/>
    </row>
    <row r="12" spans="1:12" hidden="1" outlineLevel="1" x14ac:dyDescent="0.25">
      <c r="B12" s="14"/>
      <c r="C12" s="15"/>
      <c r="D12" s="13"/>
      <c r="E12" s="16"/>
      <c r="F12" s="44">
        <f>'Trimestre 2-Formato 2'!J12</f>
        <v>1838917507.53</v>
      </c>
      <c r="G12" s="44"/>
      <c r="H12" s="44">
        <f>SUM('[1]Interaciones 434988 Abril 2016'!$F$14:$F$16)</f>
        <v>1838917507.53</v>
      </c>
      <c r="I12" s="44">
        <v>0</v>
      </c>
      <c r="J12" s="44">
        <f t="shared" si="3"/>
        <v>0</v>
      </c>
      <c r="K12" s="44">
        <f>SUM('[1]Interaciones 434988 Abril 2016'!$I$14:$I$16)</f>
        <v>23365651.318808168</v>
      </c>
      <c r="L12" s="164"/>
    </row>
    <row r="13" spans="1:12" hidden="1" outlineLevel="1" x14ac:dyDescent="0.25">
      <c r="B13" s="14"/>
      <c r="C13" s="15"/>
      <c r="D13" s="13"/>
      <c r="E13" s="13"/>
      <c r="F13" s="44">
        <f>'Trimestre 2-Formato 2'!J13</f>
        <v>1075016873.47</v>
      </c>
      <c r="G13" s="44"/>
      <c r="H13" s="44">
        <f>SUM('[1]Interaciones 434990 Abril 2016'!$F$14:$F$16)</f>
        <v>1075016873.47</v>
      </c>
      <c r="I13" s="44">
        <v>0</v>
      </c>
      <c r="J13" s="44">
        <f t="shared" si="3"/>
        <v>0</v>
      </c>
      <c r="K13" s="44">
        <f>SUM('[1]Interaciones 434990 Abril 2016'!$I$14:$I$16)</f>
        <v>13659377.874537311</v>
      </c>
      <c r="L13" s="164"/>
    </row>
    <row r="14" spans="1:12" collapsed="1" x14ac:dyDescent="0.25">
      <c r="B14" s="14"/>
      <c r="C14" s="15"/>
      <c r="D14" s="13"/>
      <c r="E14" s="12" t="s">
        <v>58</v>
      </c>
      <c r="F14" s="44">
        <f>SUM(F15:F15)</f>
        <v>125000000</v>
      </c>
      <c r="G14" s="44">
        <f t="shared" ref="G14:L14" si="4">SUM(G15:G15)</f>
        <v>0</v>
      </c>
      <c r="H14" s="44">
        <f t="shared" si="4"/>
        <v>125000000</v>
      </c>
      <c r="I14" s="20">
        <f>SUM(I15:I15)</f>
        <v>0</v>
      </c>
      <c r="J14" s="20">
        <f t="shared" si="3"/>
        <v>0</v>
      </c>
      <c r="K14" s="44">
        <f t="shared" si="4"/>
        <v>641326.38888888888</v>
      </c>
      <c r="L14" s="46">
        <f t="shared" si="4"/>
        <v>0</v>
      </c>
    </row>
    <row r="15" spans="1:12" hidden="1" outlineLevel="1" x14ac:dyDescent="0.25">
      <c r="B15" s="14"/>
      <c r="C15" s="15"/>
      <c r="D15" s="13"/>
      <c r="E15" s="12"/>
      <c r="F15" s="44">
        <f>'Trimestre 2-Formato 2'!J15</f>
        <v>125000000</v>
      </c>
      <c r="G15" s="44"/>
      <c r="H15" s="44">
        <f>'[1]HSBC 500 febrero 2016'!$F$16</f>
        <v>125000000</v>
      </c>
      <c r="I15" s="44">
        <v>0</v>
      </c>
      <c r="J15" s="44">
        <f t="shared" si="3"/>
        <v>0</v>
      </c>
      <c r="K15" s="44">
        <f>'[1]HSBC 500 febrero 2016'!$I$16</f>
        <v>641326.38888888888</v>
      </c>
      <c r="L15" s="46">
        <v>0</v>
      </c>
    </row>
    <row r="16" spans="1:12" collapsed="1" x14ac:dyDescent="0.25">
      <c r="B16" s="14"/>
      <c r="C16" s="16"/>
      <c r="D16" s="47"/>
      <c r="E16" s="74" t="s">
        <v>59</v>
      </c>
      <c r="F16" s="44">
        <f>SUM(F17:F17)</f>
        <v>0</v>
      </c>
      <c r="G16" s="44">
        <f t="shared" ref="G16:I16" si="5">SUM(G17:G17)</f>
        <v>0</v>
      </c>
      <c r="H16" s="44">
        <f t="shared" si="5"/>
        <v>0</v>
      </c>
      <c r="I16" s="44">
        <f t="shared" si="5"/>
        <v>0</v>
      </c>
      <c r="J16" s="44">
        <f t="shared" si="3"/>
        <v>0</v>
      </c>
      <c r="K16" s="44"/>
      <c r="L16" s="46">
        <f t="shared" ref="L16" si="6">SUM(L17:L17)</f>
        <v>0</v>
      </c>
    </row>
    <row r="17" spans="2:12" outlineLevel="1" x14ac:dyDescent="0.25">
      <c r="B17" s="14"/>
      <c r="C17" s="16"/>
      <c r="D17" s="47"/>
      <c r="E17" s="74"/>
      <c r="F17" s="44">
        <f>'Trimestre 2-Formato 2'!J17</f>
        <v>0</v>
      </c>
      <c r="G17" s="44"/>
      <c r="H17" s="44"/>
      <c r="I17" s="44">
        <v>0</v>
      </c>
      <c r="J17" s="44">
        <f t="shared" si="3"/>
        <v>0</v>
      </c>
      <c r="K17" s="44"/>
      <c r="L17" s="46"/>
    </row>
    <row r="18" spans="2:12" x14ac:dyDescent="0.25">
      <c r="B18" s="14"/>
      <c r="C18" s="16"/>
      <c r="D18" s="47"/>
      <c r="E18" s="74" t="s">
        <v>60</v>
      </c>
      <c r="F18" s="44">
        <f>SUM(F19:F19)</f>
        <v>0</v>
      </c>
      <c r="G18" s="44">
        <f t="shared" ref="G18:I18" si="7">SUM(G19:G19)</f>
        <v>0</v>
      </c>
      <c r="H18" s="44">
        <f t="shared" si="7"/>
        <v>0</v>
      </c>
      <c r="I18" s="44">
        <f t="shared" si="7"/>
        <v>0</v>
      </c>
      <c r="J18" s="44">
        <f t="shared" si="3"/>
        <v>0</v>
      </c>
      <c r="K18" s="44"/>
      <c r="L18" s="46">
        <f t="shared" ref="L18" si="8">SUM(L19:L19)</f>
        <v>0</v>
      </c>
    </row>
    <row r="19" spans="2:12" outlineLevel="1" x14ac:dyDescent="0.25">
      <c r="B19" s="14"/>
      <c r="C19" s="16"/>
      <c r="D19" s="47"/>
      <c r="E19" s="74"/>
      <c r="F19" s="44">
        <f>'Trimestre 2-Formato 2'!J19</f>
        <v>0</v>
      </c>
      <c r="G19" s="44"/>
      <c r="H19" s="44"/>
      <c r="I19" s="44">
        <v>0</v>
      </c>
      <c r="J19" s="44">
        <f t="shared" si="3"/>
        <v>0</v>
      </c>
      <c r="K19" s="44"/>
      <c r="L19" s="46"/>
    </row>
    <row r="20" spans="2:12" s="75" customFormat="1" x14ac:dyDescent="0.25">
      <c r="B20" s="73"/>
      <c r="C20" s="16"/>
      <c r="D20" s="47"/>
      <c r="E20" s="74"/>
      <c r="F20" s="44"/>
      <c r="G20" s="44"/>
      <c r="H20" s="44"/>
      <c r="I20" s="44"/>
      <c r="J20" s="44"/>
      <c r="K20" s="44"/>
      <c r="L20" s="46"/>
    </row>
    <row r="21" spans="2:12" s="75" customFormat="1" ht="15" hidden="1" customHeight="1" outlineLevel="1" x14ac:dyDescent="0.25">
      <c r="B21" s="73"/>
      <c r="C21" s="16"/>
      <c r="D21" s="47"/>
      <c r="E21" s="74"/>
      <c r="F21" s="44"/>
      <c r="G21" s="44"/>
      <c r="H21" s="44"/>
      <c r="I21" s="44"/>
      <c r="J21" s="44"/>
      <c r="K21" s="44"/>
      <c r="L21" s="46"/>
    </row>
    <row r="22" spans="2:12" collapsed="1" x14ac:dyDescent="0.25">
      <c r="B22" s="40"/>
      <c r="C22" s="25"/>
      <c r="D22" s="25" t="s">
        <v>54</v>
      </c>
      <c r="E22" s="26"/>
      <c r="F22" s="27">
        <f>SUM(F23)</f>
        <v>0</v>
      </c>
      <c r="G22" s="28">
        <f t="shared" ref="G22:L22" si="9">SUM(G23)</f>
        <v>0</v>
      </c>
      <c r="H22" s="28">
        <f t="shared" si="9"/>
        <v>0</v>
      </c>
      <c r="I22" s="28">
        <f t="shared" si="9"/>
        <v>0</v>
      </c>
      <c r="J22" s="28">
        <f>SUM(J23)</f>
        <v>0</v>
      </c>
      <c r="K22" s="28">
        <f t="shared" si="9"/>
        <v>0</v>
      </c>
      <c r="L22" s="29">
        <f t="shared" si="9"/>
        <v>0</v>
      </c>
    </row>
    <row r="23" spans="2:12" hidden="1" outlineLevel="1" x14ac:dyDescent="0.25">
      <c r="B23" s="14"/>
      <c r="C23" s="15"/>
      <c r="D23" s="15"/>
      <c r="E23" s="13"/>
      <c r="F23" s="19"/>
      <c r="G23" s="20"/>
      <c r="H23" s="20"/>
      <c r="I23" s="20"/>
      <c r="J23" s="20"/>
      <c r="K23" s="20"/>
      <c r="L23" s="21"/>
    </row>
    <row r="24" spans="2:12" collapsed="1" x14ac:dyDescent="0.25">
      <c r="B24" s="39"/>
      <c r="C24" s="25"/>
      <c r="D24" s="25" t="s">
        <v>7</v>
      </c>
      <c r="E24" s="26"/>
      <c r="F24" s="27">
        <f>SUM(F25)</f>
        <v>0</v>
      </c>
      <c r="G24" s="28">
        <f t="shared" ref="G24:L24" si="10">SUM(G25)</f>
        <v>0</v>
      </c>
      <c r="H24" s="28">
        <f t="shared" si="10"/>
        <v>0</v>
      </c>
      <c r="I24" s="28">
        <f t="shared" si="10"/>
        <v>0</v>
      </c>
      <c r="J24" s="28">
        <f t="shared" si="10"/>
        <v>0</v>
      </c>
      <c r="K24" s="28">
        <f t="shared" si="10"/>
        <v>0</v>
      </c>
      <c r="L24" s="29">
        <f t="shared" si="10"/>
        <v>0</v>
      </c>
    </row>
    <row r="25" spans="2:12" hidden="1" outlineLevel="1" x14ac:dyDescent="0.25">
      <c r="B25" s="11"/>
      <c r="C25" s="15"/>
      <c r="D25" s="15"/>
      <c r="E25" s="13"/>
      <c r="F25" s="19"/>
      <c r="G25" s="20"/>
      <c r="H25" s="20"/>
      <c r="I25" s="20"/>
      <c r="J25" s="20"/>
      <c r="K25" s="20"/>
      <c r="L25" s="21"/>
    </row>
    <row r="26" spans="2:12" collapsed="1" x14ac:dyDescent="0.25">
      <c r="B26" s="41"/>
      <c r="C26" s="32" t="s">
        <v>8</v>
      </c>
      <c r="D26" s="32"/>
      <c r="E26" s="32"/>
      <c r="F26" s="33">
        <f t="shared" ref="F26:L26" si="11">SUM(F27,F40,F45)</f>
        <v>20627991954.490002</v>
      </c>
      <c r="G26" s="33">
        <f t="shared" si="11"/>
        <v>0</v>
      </c>
      <c r="H26" s="33">
        <f>SUM(H27,H40,H45)</f>
        <v>58168821.419999994</v>
      </c>
      <c r="I26" s="33">
        <f t="shared" si="11"/>
        <v>0</v>
      </c>
      <c r="J26" s="33">
        <f>SUM(J27,J40,J45)</f>
        <v>20569823133.070004</v>
      </c>
      <c r="K26" s="33">
        <f t="shared" si="11"/>
        <v>325751646.09224105</v>
      </c>
      <c r="L26" s="34">
        <f t="shared" si="11"/>
        <v>0</v>
      </c>
    </row>
    <row r="27" spans="2:12" x14ac:dyDescent="0.25">
      <c r="B27" s="39"/>
      <c r="C27" s="24"/>
      <c r="D27" s="25" t="s">
        <v>55</v>
      </c>
      <c r="E27" s="26"/>
      <c r="F27" s="28">
        <f>SUM(F28:F39)</f>
        <v>20627991954.490002</v>
      </c>
      <c r="G27" s="28">
        <f>SUM(G28:G39)</f>
        <v>0</v>
      </c>
      <c r="H27" s="28">
        <f>SUM(H28:H39)</f>
        <v>58168821.419999994</v>
      </c>
      <c r="I27" s="28">
        <f t="shared" ref="I27:L27" si="12">SUM(I28:I35)</f>
        <v>0</v>
      </c>
      <c r="J27" s="28">
        <f>+F27+G27-H27+I27</f>
        <v>20569823133.070004</v>
      </c>
      <c r="K27" s="28">
        <f>SUM(K28:K39)</f>
        <v>325751646.09224105</v>
      </c>
      <c r="L27" s="29">
        <f t="shared" si="12"/>
        <v>0</v>
      </c>
    </row>
    <row r="28" spans="2:12" x14ac:dyDescent="0.25">
      <c r="B28" s="11"/>
      <c r="C28" s="10"/>
      <c r="D28" s="10"/>
      <c r="E28" s="60" t="s">
        <v>77</v>
      </c>
      <c r="F28" s="44">
        <f>'Trimestre 2-Formato 2'!J28</f>
        <v>4395453914.3500004</v>
      </c>
      <c r="G28" s="44">
        <v>0</v>
      </c>
      <c r="H28" s="44">
        <f>SUM('[2]4500 Interacciones'!$H$39:$H$41)</f>
        <v>12518659.029999999</v>
      </c>
      <c r="I28" s="44"/>
      <c r="J28" s="44">
        <f t="shared" ref="J28:J46" si="13">+F28+G28-H28+I28</f>
        <v>4382935255.3200006</v>
      </c>
      <c r="K28" s="44">
        <f>SUM('[2]4500 Interacciones'!$I$39:$I$41)</f>
        <v>69599341.709129065</v>
      </c>
      <c r="L28" s="21">
        <v>0</v>
      </c>
    </row>
    <row r="29" spans="2:12" x14ac:dyDescent="0.25">
      <c r="B29" s="11"/>
      <c r="C29" s="10"/>
      <c r="D29" s="10"/>
      <c r="E29" s="60" t="s">
        <v>78</v>
      </c>
      <c r="F29" s="44">
        <f>'Trimestre 2-Formato 2'!J29</f>
        <v>1346732084.4099998</v>
      </c>
      <c r="G29" s="44">
        <v>0</v>
      </c>
      <c r="H29" s="44">
        <f>SUM('[2]1400  Multiva'!$H$40:$H$42)</f>
        <v>6378458.540000001</v>
      </c>
      <c r="I29" s="44"/>
      <c r="J29" s="44">
        <f t="shared" si="13"/>
        <v>1340353625.8699999</v>
      </c>
      <c r="K29" s="44">
        <f>SUM('[2]1400  Multiva'!$I$40:$I$42)</f>
        <v>21999930.235161215</v>
      </c>
      <c r="L29" s="21">
        <v>0</v>
      </c>
    </row>
    <row r="30" spans="2:12" x14ac:dyDescent="0.25">
      <c r="B30" s="11"/>
      <c r="C30" s="10"/>
      <c r="D30" s="10"/>
      <c r="E30" s="60" t="s">
        <v>79</v>
      </c>
      <c r="F30" s="44">
        <f>'Trimestre 2-Formato 2'!J30</f>
        <v>1676244936.9800003</v>
      </c>
      <c r="G30" s="44">
        <v>0</v>
      </c>
      <c r="H30" s="44">
        <f>SUM('[2]1716 BBVA (2)'!$H$39:$H$41)</f>
        <v>4774100.53</v>
      </c>
      <c r="I30" s="44"/>
      <c r="J30" s="44">
        <f t="shared" si="13"/>
        <v>1671470836.4500003</v>
      </c>
      <c r="K30" s="44">
        <f>SUM('[2]1716 BBVA (2)'!$I$39:$I$41)</f>
        <v>24930391.356054869</v>
      </c>
      <c r="L30" s="21">
        <v>0</v>
      </c>
    </row>
    <row r="31" spans="2:12" x14ac:dyDescent="0.25">
      <c r="B31" s="11"/>
      <c r="C31" s="10"/>
      <c r="D31" s="10"/>
      <c r="E31" s="60" t="s">
        <v>80</v>
      </c>
      <c r="F31" s="44">
        <f>'Trimestre 2-Formato 2'!J31</f>
        <v>1981356115.4200003</v>
      </c>
      <c r="G31" s="44">
        <v>0</v>
      </c>
      <c r="H31" s="44">
        <f>SUM('[2]2028 BBVA (3)'!$H$39:$H$41)</f>
        <v>5643085.3700000001</v>
      </c>
      <c r="I31" s="44"/>
      <c r="J31" s="44">
        <f t="shared" si="13"/>
        <v>1975713030.0500004</v>
      </c>
      <c r="K31" s="44">
        <f>SUM('[2]2028 BBVA (3)'!$I$39:$I$41)</f>
        <v>29468237.179113932</v>
      </c>
      <c r="L31" s="21">
        <v>0</v>
      </c>
    </row>
    <row r="32" spans="2:12" x14ac:dyDescent="0.25">
      <c r="B32" s="11"/>
      <c r="C32" s="10"/>
      <c r="D32" s="10"/>
      <c r="E32" s="60" t="s">
        <v>81</v>
      </c>
      <c r="F32" s="44">
        <f>'Trimestre 2-Formato 2'!J32</f>
        <v>1347939200.3899999</v>
      </c>
      <c r="G32" s="44">
        <v>0</v>
      </c>
      <c r="H32" s="44">
        <f>SUM('[2]1380 BBVA'!$H$39:$H$41)</f>
        <v>3839055.4399999995</v>
      </c>
      <c r="I32" s="44"/>
      <c r="J32" s="44">
        <f t="shared" si="13"/>
        <v>1344100144.9499998</v>
      </c>
      <c r="K32" s="44">
        <f>SUM('[2]1380 BBVA'!$I$39:$I$41)</f>
        <v>20047578.398976687</v>
      </c>
      <c r="L32" s="21">
        <v>0</v>
      </c>
    </row>
    <row r="33" spans="2:12" x14ac:dyDescent="0.25">
      <c r="B33" s="11"/>
      <c r="C33" s="10"/>
      <c r="D33" s="10"/>
      <c r="E33" s="60" t="s">
        <v>82</v>
      </c>
      <c r="F33" s="44">
        <f>'Trimestre 2-Formato 2'!J33</f>
        <v>1968962105.8399997</v>
      </c>
      <c r="G33" s="44">
        <v>0</v>
      </c>
      <c r="H33" s="44">
        <f>SUM('[2]Banorte 1,995mdp'!$H$27:$H$29)</f>
        <v>4753419.4800000004</v>
      </c>
      <c r="I33" s="44"/>
      <c r="J33" s="44">
        <f t="shared" si="13"/>
        <v>1964208686.3599997</v>
      </c>
      <c r="K33" s="44">
        <f>SUM('[2]Banorte 1,995mdp'!$I$27:$I$29)</f>
        <v>28791109.047091387</v>
      </c>
      <c r="L33" s="21">
        <v>0</v>
      </c>
    </row>
    <row r="34" spans="2:12" x14ac:dyDescent="0.25">
      <c r="B34" s="11"/>
      <c r="C34" s="10"/>
      <c r="D34" s="10"/>
      <c r="E34" s="60" t="s">
        <v>83</v>
      </c>
      <c r="F34" s="44">
        <f>'Trimestre 2-Formato 2'!J34</f>
        <v>986877321.28999972</v>
      </c>
      <c r="G34" s="44">
        <v>0</v>
      </c>
      <c r="H34" s="44">
        <f>SUM('[2]Santander 1,000'!$H$27:$H$29)</f>
        <v>2382494.7600000002</v>
      </c>
      <c r="I34" s="44"/>
      <c r="J34" s="44">
        <f t="shared" si="13"/>
        <v>984494826.52999973</v>
      </c>
      <c r="K34" s="44">
        <f>SUM('[2]Santander 1,000'!$I$27:$I$29)</f>
        <v>13184329.519842692</v>
      </c>
      <c r="L34" s="21">
        <v>0</v>
      </c>
    </row>
    <row r="35" spans="2:12" x14ac:dyDescent="0.25">
      <c r="B35" s="11"/>
      <c r="C35" s="10"/>
      <c r="D35" s="10"/>
      <c r="E35" s="60" t="s">
        <v>84</v>
      </c>
      <c r="F35" s="44">
        <f>'Trimestre 2-Formato 2'!J35</f>
        <v>1314381680.9400001</v>
      </c>
      <c r="G35" s="44">
        <v>0</v>
      </c>
      <c r="H35" s="44">
        <f>SUM('[2]Banorte 1,320mdp'!$H$15:$H$17)</f>
        <v>2693911.58</v>
      </c>
      <c r="I35" s="44"/>
      <c r="J35" s="44">
        <f t="shared" si="13"/>
        <v>1311687769.3600001</v>
      </c>
      <c r="K35" s="44">
        <f>SUM('[2]Banorte 1,320mdp'!$I$15:$I$17)</f>
        <v>18557979.349374555</v>
      </c>
      <c r="L35" s="21">
        <v>0</v>
      </c>
    </row>
    <row r="36" spans="2:12" x14ac:dyDescent="0.25">
      <c r="B36" s="11"/>
      <c r="C36" s="10"/>
      <c r="D36" s="10"/>
      <c r="E36" s="60"/>
      <c r="F36" s="44">
        <f>'Trimestre 2-Formato 2'!J36</f>
        <v>0</v>
      </c>
      <c r="G36" s="20"/>
      <c r="H36" s="20"/>
      <c r="I36" s="20"/>
      <c r="J36" s="20"/>
      <c r="K36" s="20"/>
      <c r="L36" s="21"/>
    </row>
    <row r="37" spans="2:12" x14ac:dyDescent="0.25">
      <c r="B37" s="11"/>
      <c r="C37" s="10"/>
      <c r="D37" s="10"/>
      <c r="E37" s="60" t="s">
        <v>85</v>
      </c>
      <c r="F37" s="44">
        <f>'Trimestre 2-Formato 2'!J37</f>
        <v>4632539039.1000004</v>
      </c>
      <c r="G37" s="44">
        <v>0</v>
      </c>
      <c r="H37" s="44">
        <f>SUM('[3]5000 inbursa reest 2014'!$E$27:$E$29)</f>
        <v>12539660.539999999</v>
      </c>
      <c r="I37" s="44"/>
      <c r="J37" s="20">
        <f t="shared" si="13"/>
        <v>4619999378.5600004</v>
      </c>
      <c r="K37" s="44">
        <f>SUM('[3]5000 inbursa reest 2014'!$I$27:$I$29)</f>
        <v>81892688.189209342</v>
      </c>
      <c r="L37" s="46">
        <v>0</v>
      </c>
    </row>
    <row r="38" spans="2:12" x14ac:dyDescent="0.25">
      <c r="B38" s="11"/>
      <c r="C38" s="10"/>
      <c r="D38" s="10"/>
      <c r="E38" s="60" t="s">
        <v>86</v>
      </c>
      <c r="F38" s="44">
        <f>'Trimestre 2-Formato 2'!J38</f>
        <v>977505555.76999986</v>
      </c>
      <c r="G38" s="44">
        <v>0</v>
      </c>
      <c r="H38" s="44">
        <f>SUM('[4]1160 inbursa reest 2014'!$E$25:$E$27)</f>
        <v>2645976.15</v>
      </c>
      <c r="I38" s="44"/>
      <c r="J38" s="20">
        <f t="shared" si="13"/>
        <v>974859579.61999989</v>
      </c>
      <c r="K38" s="44">
        <f>SUM('[4]1160 inbursa reest 2014'!$I$25:$I$27)</f>
        <v>17280061.108287308</v>
      </c>
      <c r="L38" s="46">
        <v>0</v>
      </c>
    </row>
    <row r="39" spans="2:12" x14ac:dyDescent="0.25">
      <c r="B39" s="11"/>
      <c r="C39" s="10"/>
      <c r="D39" s="10"/>
      <c r="E39" s="16"/>
      <c r="F39" s="20"/>
      <c r="G39" s="20"/>
      <c r="H39" s="20"/>
      <c r="I39" s="20"/>
      <c r="J39" s="20"/>
      <c r="K39" s="20"/>
      <c r="L39" s="21"/>
    </row>
    <row r="40" spans="2:12" x14ac:dyDescent="0.25">
      <c r="B40" s="39"/>
      <c r="C40" s="25"/>
      <c r="D40" s="25" t="s">
        <v>56</v>
      </c>
      <c r="E40" s="26"/>
      <c r="F40" s="28">
        <f>SUM(F41)</f>
        <v>0</v>
      </c>
      <c r="G40" s="28">
        <f t="shared" ref="G40:L40" si="14">SUM(G41)</f>
        <v>0</v>
      </c>
      <c r="H40" s="28">
        <f t="shared" si="14"/>
        <v>0</v>
      </c>
      <c r="I40" s="28">
        <f t="shared" si="14"/>
        <v>0</v>
      </c>
      <c r="J40" s="28">
        <f>+F40+G40-H40+I40</f>
        <v>0</v>
      </c>
      <c r="K40" s="28">
        <f t="shared" si="14"/>
        <v>0</v>
      </c>
      <c r="L40" s="29">
        <f t="shared" si="14"/>
        <v>0</v>
      </c>
    </row>
    <row r="41" spans="2:12" x14ac:dyDescent="0.25">
      <c r="B41" s="11"/>
      <c r="C41" s="15"/>
      <c r="D41" s="15"/>
      <c r="E41" s="13"/>
      <c r="F41" s="20"/>
      <c r="G41" s="20"/>
      <c r="H41" s="20"/>
      <c r="I41" s="20"/>
      <c r="J41" s="20">
        <f t="shared" si="13"/>
        <v>0</v>
      </c>
      <c r="K41" s="20"/>
      <c r="L41" s="21"/>
    </row>
    <row r="42" spans="2:12" x14ac:dyDescent="0.25">
      <c r="B42" s="11"/>
      <c r="C42" s="15"/>
      <c r="D42" s="15"/>
      <c r="E42" s="13"/>
      <c r="F42" s="20"/>
      <c r="G42" s="20"/>
      <c r="H42" s="20"/>
      <c r="I42" s="20"/>
      <c r="J42" s="20">
        <f t="shared" si="13"/>
        <v>0</v>
      </c>
      <c r="K42" s="20"/>
      <c r="L42" s="21"/>
    </row>
    <row r="43" spans="2:12" x14ac:dyDescent="0.25">
      <c r="B43" s="11"/>
      <c r="C43" s="15"/>
      <c r="D43" s="15"/>
      <c r="E43" s="13"/>
      <c r="F43" s="20"/>
      <c r="G43" s="20"/>
      <c r="H43" s="20"/>
      <c r="I43" s="20"/>
      <c r="J43" s="20">
        <f t="shared" si="13"/>
        <v>0</v>
      </c>
      <c r="K43" s="20"/>
      <c r="L43" s="21"/>
    </row>
    <row r="44" spans="2:12" x14ac:dyDescent="0.25">
      <c r="B44" s="11"/>
      <c r="C44" s="15"/>
      <c r="D44" s="15"/>
      <c r="E44" s="13"/>
      <c r="F44" s="20"/>
      <c r="G44" s="20"/>
      <c r="H44" s="20"/>
      <c r="I44" s="20"/>
      <c r="J44" s="20">
        <f t="shared" si="13"/>
        <v>0</v>
      </c>
      <c r="K44" s="20"/>
      <c r="L44" s="21"/>
    </row>
    <row r="45" spans="2:12" x14ac:dyDescent="0.25">
      <c r="B45" s="39"/>
      <c r="C45" s="25"/>
      <c r="D45" s="25" t="s">
        <v>17</v>
      </c>
      <c r="E45" s="26"/>
      <c r="F45" s="28">
        <f>SUM(F46)</f>
        <v>0</v>
      </c>
      <c r="G45" s="28">
        <f t="shared" ref="G45:I45" si="15">SUM(G46)</f>
        <v>0</v>
      </c>
      <c r="H45" s="28">
        <f t="shared" si="15"/>
        <v>0</v>
      </c>
      <c r="I45" s="28">
        <f t="shared" si="15"/>
        <v>0</v>
      </c>
      <c r="J45" s="28">
        <f>+F45+G45-H45+I45</f>
        <v>0</v>
      </c>
      <c r="K45" s="28">
        <f t="shared" ref="K45:L45" si="16">SUM(K46)</f>
        <v>0</v>
      </c>
      <c r="L45" s="29">
        <f t="shared" si="16"/>
        <v>0</v>
      </c>
    </row>
    <row r="46" spans="2:12" x14ac:dyDescent="0.25">
      <c r="B46" s="11"/>
      <c r="C46" s="15"/>
      <c r="D46" s="15"/>
      <c r="E46" s="13"/>
      <c r="F46" s="20"/>
      <c r="G46" s="20"/>
      <c r="H46" s="20"/>
      <c r="I46" s="20"/>
      <c r="J46" s="20">
        <f t="shared" si="13"/>
        <v>0</v>
      </c>
      <c r="K46" s="20"/>
      <c r="L46" s="21"/>
    </row>
    <row r="47" spans="2:12" ht="14.45" x14ac:dyDescent="0.3">
      <c r="B47" s="50" t="s">
        <v>18</v>
      </c>
      <c r="C47" s="51"/>
      <c r="D47" s="51"/>
      <c r="E47" s="51"/>
      <c r="F47" s="52"/>
      <c r="G47" s="52"/>
      <c r="H47" s="52"/>
      <c r="I47" s="52"/>
      <c r="J47" s="52"/>
      <c r="K47" s="52"/>
      <c r="L47" s="53"/>
    </row>
    <row r="48" spans="2:12" x14ac:dyDescent="0.25">
      <c r="B48" s="17" t="s">
        <v>19</v>
      </c>
      <c r="C48" s="18"/>
      <c r="D48" s="18"/>
      <c r="E48" s="18"/>
      <c r="F48" s="49">
        <f t="shared" ref="F48:L48" si="17">F7+F47</f>
        <v>23666926335.490002</v>
      </c>
      <c r="G48" s="49">
        <f t="shared" si="17"/>
        <v>0</v>
      </c>
      <c r="H48" s="49">
        <f t="shared" si="17"/>
        <v>3097103202.4200001</v>
      </c>
      <c r="I48" s="49">
        <f t="shared" si="17"/>
        <v>0</v>
      </c>
      <c r="J48" s="49">
        <f t="shared" si="17"/>
        <v>20569823133.070004</v>
      </c>
      <c r="K48" s="49">
        <f t="shared" si="17"/>
        <v>363418001.67447543</v>
      </c>
      <c r="L48" s="49">
        <f t="shared" si="17"/>
        <v>0</v>
      </c>
    </row>
    <row r="49" spans="2:13" x14ac:dyDescent="0.25">
      <c r="B49" s="54" t="s">
        <v>20</v>
      </c>
      <c r="C49" s="55"/>
      <c r="D49" s="55"/>
      <c r="E49" s="55"/>
      <c r="F49" s="56"/>
      <c r="G49" s="56"/>
      <c r="H49" s="56"/>
      <c r="I49" s="56"/>
      <c r="J49" s="56"/>
      <c r="K49" s="56"/>
      <c r="L49" s="57"/>
    </row>
    <row r="50" spans="2:13" x14ac:dyDescent="0.25">
      <c r="B50" s="11"/>
      <c r="D50" s="63" t="s">
        <v>65</v>
      </c>
      <c r="E50" s="61" t="s">
        <v>58</v>
      </c>
      <c r="F50" s="20">
        <f>'Trimestre 2-Formato 2'!J50</f>
        <v>301431846.22000092</v>
      </c>
      <c r="G50" s="20">
        <v>0</v>
      </c>
      <c r="H50" s="72">
        <v>0</v>
      </c>
      <c r="I50" s="20">
        <v>0</v>
      </c>
      <c r="J50" s="20">
        <f>'[5]HSBC 416''136'!$L$84</f>
        <v>293429230.84000099</v>
      </c>
      <c r="K50" s="72">
        <f>SUM('[5]HSBC 416''136'!$J$79:$J$81)</f>
        <v>4232583.2777940128</v>
      </c>
      <c r="L50" s="21"/>
    </row>
    <row r="51" spans="2:13" x14ac:dyDescent="0.25">
      <c r="B51" s="11"/>
      <c r="D51" s="63" t="s">
        <v>64</v>
      </c>
      <c r="E51" s="61" t="s">
        <v>63</v>
      </c>
      <c r="F51" s="20">
        <f>'Trimestre 2-Formato 2'!J51</f>
        <v>304099384.6800009</v>
      </c>
      <c r="G51" s="20">
        <v>0</v>
      </c>
      <c r="H51" s="72">
        <v>0</v>
      </c>
      <c r="I51" s="20">
        <v>0</v>
      </c>
      <c r="J51" s="20">
        <f>'[5]Santander 416''136'!$L$83</f>
        <v>296096769.30000097</v>
      </c>
      <c r="K51" s="72">
        <f>SUM('[5]Santander 416''136'!$J$78:$J$80)</f>
        <v>3833778.8678556224</v>
      </c>
      <c r="L51" s="21"/>
    </row>
    <row r="52" spans="2:13" x14ac:dyDescent="0.25">
      <c r="B52" s="11"/>
      <c r="D52" s="63" t="s">
        <v>66</v>
      </c>
      <c r="E52" s="60" t="s">
        <v>87</v>
      </c>
      <c r="F52" s="77">
        <f>'Trimestre 2-Formato 2'!J52</f>
        <v>5989036323.5</v>
      </c>
      <c r="G52" s="20">
        <v>6000000000</v>
      </c>
      <c r="H52" s="71">
        <f>'[6]Inbursa 6000 mdp '!$L$8+3000000000</f>
        <v>3010963676.5</v>
      </c>
      <c r="I52" s="20">
        <v>0</v>
      </c>
      <c r="J52" s="20">
        <f>+F52+G52-H52+I52</f>
        <v>8978072647</v>
      </c>
      <c r="K52" s="71">
        <f>'[6]Inbursa 6000 mdp '!$I$8</f>
        <v>0</v>
      </c>
      <c r="L52" s="46"/>
    </row>
    <row r="53" spans="2:13" x14ac:dyDescent="0.25">
      <c r="B53" s="11"/>
      <c r="D53" s="63" t="s">
        <v>67</v>
      </c>
      <c r="E53" s="60" t="s">
        <v>93</v>
      </c>
      <c r="F53" s="77">
        <f>'Trimestre 2-Formato 2'!J53</f>
        <v>2518499999</v>
      </c>
      <c r="G53" s="20">
        <v>0</v>
      </c>
      <c r="H53" s="71">
        <f>SUM('[7]80634'!$H$29:$H$31)</f>
        <v>106650000.00000007</v>
      </c>
      <c r="I53" s="20">
        <v>0</v>
      </c>
      <c r="J53" s="20">
        <f>+F53+G53-H53+I53</f>
        <v>2411849999</v>
      </c>
      <c r="K53" s="71">
        <f>SUM('[7]80634'!$L$29:$L$31)</f>
        <v>108209553.83320417</v>
      </c>
      <c r="L53" s="46"/>
    </row>
    <row r="54" spans="2:13" x14ac:dyDescent="0.25">
      <c r="B54" s="11"/>
      <c r="D54" s="63" t="s">
        <v>72</v>
      </c>
      <c r="E54" s="60" t="s">
        <v>94</v>
      </c>
      <c r="F54" s="77"/>
      <c r="G54" s="20"/>
      <c r="H54" s="71"/>
      <c r="I54" s="20"/>
      <c r="J54" s="20"/>
      <c r="K54" s="71"/>
      <c r="L54" s="46"/>
    </row>
    <row r="55" spans="2:13" x14ac:dyDescent="0.25">
      <c r="B55" s="11"/>
      <c r="L55" s="59"/>
    </row>
    <row r="56" spans="2:13" s="6" customFormat="1" x14ac:dyDescent="0.25">
      <c r="B56" s="54" t="s">
        <v>21</v>
      </c>
      <c r="C56" s="55"/>
      <c r="D56" s="55"/>
      <c r="E56" s="55"/>
      <c r="F56" s="56"/>
      <c r="G56" s="56"/>
      <c r="H56" s="56"/>
      <c r="I56" s="56"/>
      <c r="J56" s="56"/>
      <c r="K56" s="56"/>
      <c r="L56" s="57"/>
      <c r="M56"/>
    </row>
    <row r="57" spans="2:13" x14ac:dyDescent="0.25">
      <c r="B57" s="14"/>
      <c r="C57" s="15"/>
      <c r="D57" s="63" t="s">
        <v>65</v>
      </c>
      <c r="E57" s="62" t="s">
        <v>68</v>
      </c>
      <c r="F57" s="44">
        <f>'Trimestre 2-Formato 2'!J57</f>
        <v>904488200</v>
      </c>
      <c r="G57" s="44">
        <v>0</v>
      </c>
      <c r="H57" s="44">
        <v>0</v>
      </c>
      <c r="I57" s="48">
        <f>IF(F57&gt;J57,(F57-J57)*-1,(F57-J57)*-1)</f>
        <v>495511800</v>
      </c>
      <c r="J57" s="44">
        <f>'[8]Banobras 1400'!$L$58</f>
        <v>1400000000</v>
      </c>
      <c r="K57" s="44">
        <f>SUM('[8]Banobras 1400'!$H$56:$H$58)</f>
        <v>34149778.576934934</v>
      </c>
      <c r="L57" s="160">
        <f>SUM('[9]Credito Corto Plazo'!$I$72,'[9]Credito Corto Plazo'!$I$73,'[9]Credito Corto Plazo'!$I$82:$I$87)</f>
        <v>69552.189999999988</v>
      </c>
    </row>
    <row r="58" spans="2:13" x14ac:dyDescent="0.25">
      <c r="B58" s="14"/>
      <c r="C58" s="15"/>
      <c r="D58" s="63" t="s">
        <v>64</v>
      </c>
      <c r="E58" s="62" t="s">
        <v>69</v>
      </c>
      <c r="F58" s="44">
        <f>'Trimestre 2-Formato 2'!J58</f>
        <v>785726400</v>
      </c>
      <c r="G58" s="44">
        <v>0</v>
      </c>
      <c r="H58" s="44">
        <v>0</v>
      </c>
      <c r="I58" s="48">
        <f>IF(F58&gt;J58,(F58-J58)*-1,(F58-J58)*-1)</f>
        <v>414273600</v>
      </c>
      <c r="J58" s="44">
        <f>'[8]Banobras 1200'!$M$63</f>
        <v>1200000000</v>
      </c>
      <c r="K58" s="44">
        <f>SUM('[8]Banobras 1200'!$I$61:$I$63)</f>
        <v>27692000</v>
      </c>
      <c r="L58" s="161"/>
    </row>
    <row r="59" spans="2:13" x14ac:dyDescent="0.25">
      <c r="B59" s="14"/>
      <c r="C59" s="15"/>
      <c r="D59" s="63" t="s">
        <v>66</v>
      </c>
      <c r="E59" s="62" t="s">
        <v>70</v>
      </c>
      <c r="F59" s="44">
        <f>'Trimestre 2-Formato 2'!J59</f>
        <v>685377780</v>
      </c>
      <c r="G59" s="44">
        <v>0</v>
      </c>
      <c r="H59" s="44">
        <v>0</v>
      </c>
      <c r="I59" s="48">
        <f>IF(F59&gt;J59,(F59-J59)*-1,(F59-J59)*-1)</f>
        <v>334622220</v>
      </c>
      <c r="J59" s="44">
        <f>'[8]Banobras 1020'!$J$49</f>
        <v>1020000000</v>
      </c>
      <c r="K59" s="44">
        <f>SUM('[8]Banobras 1020'!$G$47:$G$49)</f>
        <v>21394600.009999998</v>
      </c>
      <c r="L59" s="161"/>
    </row>
    <row r="60" spans="2:13" x14ac:dyDescent="0.25">
      <c r="B60" s="14"/>
      <c r="C60" s="15"/>
      <c r="D60" s="63" t="s">
        <v>67</v>
      </c>
      <c r="E60" s="62" t="s">
        <v>71</v>
      </c>
      <c r="F60" s="44">
        <f>'Trimestre 2-Formato 2'!J60</f>
        <v>637014515</v>
      </c>
      <c r="G60" s="44">
        <v>0</v>
      </c>
      <c r="H60" s="44">
        <v>0</v>
      </c>
      <c r="I60" s="48">
        <f>IF(F60&gt;J60,(F60-J60)*-1,(F60-J60)*-1)</f>
        <v>0</v>
      </c>
      <c r="J60" s="44">
        <f>'[8]Banobras 636.92'!$I$51</f>
        <v>637014515</v>
      </c>
      <c r="K60" s="44">
        <f>SUM('[8]Banobras 636.92'!$H$49:$H$51)</f>
        <v>13202258.930491947</v>
      </c>
      <c r="L60" s="161"/>
    </row>
    <row r="61" spans="2:13" x14ac:dyDescent="0.25">
      <c r="B61" s="14"/>
      <c r="C61" s="16"/>
      <c r="D61" s="47"/>
      <c r="E61" s="47"/>
      <c r="F61" s="44"/>
      <c r="G61" s="44"/>
      <c r="H61" s="44"/>
      <c r="I61" s="44"/>
      <c r="J61" s="44"/>
      <c r="K61" s="44"/>
      <c r="L61" s="46"/>
    </row>
    <row r="62" spans="2:13" x14ac:dyDescent="0.25">
      <c r="B62" s="7"/>
      <c r="C62" s="8"/>
      <c r="D62" s="9"/>
      <c r="E62" s="9"/>
      <c r="F62" s="22"/>
      <c r="G62" s="22"/>
      <c r="H62" s="22"/>
      <c r="I62" s="22"/>
      <c r="J62" s="22"/>
      <c r="K62" s="22"/>
      <c r="L62" s="23"/>
    </row>
    <row r="63" spans="2:13" x14ac:dyDescent="0.25">
      <c r="B63" s="15"/>
      <c r="C63" s="15"/>
      <c r="D63" s="13"/>
      <c r="E63" s="13"/>
      <c r="F63" s="20"/>
      <c r="G63" s="20"/>
      <c r="H63" s="20"/>
      <c r="I63" s="20"/>
      <c r="J63" s="20"/>
      <c r="K63" s="20"/>
      <c r="L63" s="20"/>
    </row>
    <row r="64" spans="2:13" ht="20.25" customHeight="1" x14ac:dyDescent="0.25">
      <c r="B64" s="162" t="s">
        <v>23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</row>
    <row r="65" spans="2:12" ht="20.25" customHeight="1" x14ac:dyDescent="0.25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</row>
    <row r="66" spans="2:12" ht="20.25" customHeight="1" x14ac:dyDescent="0.25">
      <c r="B66" s="163" t="s">
        <v>22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</row>
    <row r="67" spans="2:12" ht="20.25" customHeight="1" x14ac:dyDescent="0.25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</row>
    <row r="68" spans="2:12" ht="20.25" customHeight="1" x14ac:dyDescent="0.25"/>
    <row r="69" spans="2:12" ht="20.25" customHeight="1" x14ac:dyDescent="0.25"/>
    <row r="70" spans="2:12" ht="20.25" customHeight="1" x14ac:dyDescent="0.25"/>
    <row r="71" spans="2:12" ht="20.25" customHeight="1" x14ac:dyDescent="0.25"/>
    <row r="72" spans="2:12" ht="20.25" customHeight="1" x14ac:dyDescent="0.25"/>
  </sheetData>
  <mergeCells count="9">
    <mergeCell ref="L57:L60"/>
    <mergeCell ref="B64:L65"/>
    <mergeCell ref="B66:L67"/>
    <mergeCell ref="B2:L2"/>
    <mergeCell ref="B3:L3"/>
    <mergeCell ref="B4:L4"/>
    <mergeCell ref="B5:L5"/>
    <mergeCell ref="B6:E6"/>
    <mergeCell ref="L12:L13"/>
  </mergeCells>
  <pageMargins left="0.62992125984251968" right="0.62992125984251968" top="0.74803149606299213" bottom="0.74803149606299213" header="0.31496062992125984" footer="0.31496062992125984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75"/>
  <sheetViews>
    <sheetView showGridLines="0" tabSelected="1" zoomScale="80" zoomScaleNormal="80" workbookViewId="0">
      <pane xSplit="5" ySplit="6" topLeftCell="F7" activePane="bottomRight" state="frozen"/>
      <selection activeCell="G84" sqref="G84"/>
      <selection pane="topRight" activeCell="G84" sqref="G84"/>
      <selection pane="bottomLeft" activeCell="G84" sqref="G84"/>
      <selection pane="bottomRight" activeCell="G70" sqref="G70"/>
    </sheetView>
  </sheetViews>
  <sheetFormatPr baseColWidth="10" defaultRowHeight="15" outlineLevelRow="1" x14ac:dyDescent="0.25"/>
  <cols>
    <col min="1" max="1" width="3.140625" customWidth="1"/>
    <col min="2" max="2" width="3.42578125" customWidth="1"/>
    <col min="3" max="3" width="2.7109375" customWidth="1"/>
    <col min="4" max="4" width="4.140625" customWidth="1"/>
    <col min="5" max="5" width="29" customWidth="1"/>
    <col min="6" max="6" width="18.140625" bestFit="1" customWidth="1"/>
    <col min="7" max="7" width="15.7109375" bestFit="1" customWidth="1"/>
    <col min="8" max="8" width="15.28515625" customWidth="1"/>
    <col min="9" max="9" width="16" bestFit="1" customWidth="1"/>
    <col min="10" max="10" width="17.28515625" bestFit="1" customWidth="1"/>
    <col min="11" max="11" width="15" customWidth="1"/>
    <col min="12" max="12" width="16.7109375" customWidth="1"/>
    <col min="13" max="13" width="4.5703125" customWidth="1"/>
    <col min="14" max="14" width="12.28515625" bestFit="1" customWidth="1"/>
    <col min="15" max="15" width="14.28515625" bestFit="1" customWidth="1"/>
    <col min="16" max="16" width="13.7109375" bestFit="1" customWidth="1"/>
  </cols>
  <sheetData>
    <row r="1" spans="1:12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8.75" x14ac:dyDescent="0.25">
      <c r="B2" s="165" t="s">
        <v>50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s="1" customFormat="1" ht="17.25" x14ac:dyDescent="0.25">
      <c r="B3" s="166" t="s">
        <v>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1" customFormat="1" ht="15.75" x14ac:dyDescent="0.25">
      <c r="B4" s="167" t="s">
        <v>147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1" customFormat="1" x14ac:dyDescent="0.25">
      <c r="B5" s="168" t="s">
        <v>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67.5" customHeight="1" x14ac:dyDescent="0.25">
      <c r="B6" s="175" t="s">
        <v>9</v>
      </c>
      <c r="C6" s="176"/>
      <c r="D6" s="176"/>
      <c r="E6" s="176"/>
      <c r="F6" s="138" t="s">
        <v>148</v>
      </c>
      <c r="G6" s="138" t="s">
        <v>11</v>
      </c>
      <c r="H6" s="138" t="s">
        <v>12</v>
      </c>
      <c r="I6" s="138" t="s">
        <v>13</v>
      </c>
      <c r="J6" s="138" t="s">
        <v>14</v>
      </c>
      <c r="K6" s="138" t="s">
        <v>15</v>
      </c>
      <c r="L6" s="138" t="s">
        <v>16</v>
      </c>
    </row>
    <row r="7" spans="1:12" x14ac:dyDescent="0.25">
      <c r="B7" s="92" t="s">
        <v>5</v>
      </c>
      <c r="C7" s="93"/>
      <c r="D7" s="93"/>
      <c r="E7" s="93"/>
      <c r="F7" s="94">
        <f t="shared" ref="F7:L7" si="0">SUM(F8,F17)</f>
        <v>22009681095.720001</v>
      </c>
      <c r="G7" s="94">
        <f t="shared" si="0"/>
        <v>0</v>
      </c>
      <c r="H7" s="94">
        <f t="shared" si="0"/>
        <v>512187328.47000003</v>
      </c>
      <c r="I7" s="94">
        <f t="shared" si="0"/>
        <v>0</v>
      </c>
      <c r="J7" s="94">
        <f t="shared" si="0"/>
        <v>21497493767.25</v>
      </c>
      <c r="K7" s="94">
        <f t="shared" si="0"/>
        <v>438636525.93623716</v>
      </c>
      <c r="L7" s="95">
        <f t="shared" si="0"/>
        <v>0</v>
      </c>
    </row>
    <row r="8" spans="1:12" ht="14.45" x14ac:dyDescent="0.3">
      <c r="B8" s="96"/>
      <c r="C8" s="97" t="s">
        <v>6</v>
      </c>
      <c r="D8" s="98"/>
      <c r="E8" s="98"/>
      <c r="F8" s="145">
        <f t="shared" ref="F8:L8" si="1">SUM(F9,F13,F15)</f>
        <v>1500000000</v>
      </c>
      <c r="G8" s="44">
        <f t="shared" si="1"/>
        <v>0</v>
      </c>
      <c r="H8" s="44">
        <f t="shared" si="1"/>
        <v>450000000</v>
      </c>
      <c r="I8" s="44">
        <f t="shared" si="1"/>
        <v>0</v>
      </c>
      <c r="J8" s="44">
        <f t="shared" si="1"/>
        <v>1050000000</v>
      </c>
      <c r="K8" s="44">
        <f t="shared" si="1"/>
        <v>24782791.666666664</v>
      </c>
      <c r="L8" s="99">
        <f t="shared" si="1"/>
        <v>0</v>
      </c>
    </row>
    <row r="9" spans="1:12" x14ac:dyDescent="0.25">
      <c r="B9" s="100"/>
      <c r="C9" s="101"/>
      <c r="D9" s="74" t="s">
        <v>53</v>
      </c>
      <c r="E9" s="47"/>
      <c r="F9" s="145">
        <f>SUM(F10)</f>
        <v>1500000000</v>
      </c>
      <c r="G9" s="44">
        <f>SUM(G10)</f>
        <v>0</v>
      </c>
      <c r="H9" s="44">
        <f>SUM(H10)</f>
        <v>450000000</v>
      </c>
      <c r="I9" s="44">
        <f>SUM(I10)</f>
        <v>0</v>
      </c>
      <c r="J9" s="44">
        <f>F9+G9-H9+I9</f>
        <v>1050000000</v>
      </c>
      <c r="K9" s="44">
        <f>SUM(K10)</f>
        <v>24782791.666666664</v>
      </c>
      <c r="L9" s="46">
        <f>SUM(L10)</f>
        <v>0</v>
      </c>
    </row>
    <row r="10" spans="1:12" ht="14.45" x14ac:dyDescent="0.3">
      <c r="B10" s="73"/>
      <c r="C10" s="16"/>
      <c r="D10" s="47"/>
      <c r="E10" s="74" t="s">
        <v>61</v>
      </c>
      <c r="F10" s="44">
        <f>SUM(F11:F11)</f>
        <v>1500000000</v>
      </c>
      <c r="G10" s="44">
        <f t="shared" ref="G10" si="2">SUM(G11:G11)</f>
        <v>0</v>
      </c>
      <c r="H10" s="44">
        <f>SUM(H11:H11)</f>
        <v>450000000</v>
      </c>
      <c r="I10" s="44">
        <f t="shared" ref="I10" si="3">SUM(I11:I11)</f>
        <v>0</v>
      </c>
      <c r="J10" s="44">
        <f>+F10+G10-H10+I10</f>
        <v>1050000000</v>
      </c>
      <c r="K10" s="44">
        <f>SUM(K11:K11)</f>
        <v>24782791.666666664</v>
      </c>
      <c r="L10" s="46">
        <f>SUM(L11:L11)</f>
        <v>0</v>
      </c>
    </row>
    <row r="11" spans="1:12" s="75" customFormat="1" ht="15" hidden="1" customHeight="1" outlineLevel="1" x14ac:dyDescent="0.3">
      <c r="B11" s="73"/>
      <c r="C11" s="16"/>
      <c r="D11" s="47"/>
      <c r="E11" s="74"/>
      <c r="F11" s="44">
        <v>1500000000</v>
      </c>
      <c r="G11" s="44">
        <v>0</v>
      </c>
      <c r="H11" s="44">
        <v>450000000</v>
      </c>
      <c r="I11" s="44">
        <v>0</v>
      </c>
      <c r="J11" s="44">
        <v>1050000000</v>
      </c>
      <c r="K11" s="44">
        <v>24782791.666666664</v>
      </c>
      <c r="L11" s="46">
        <f>G11*0.4%*1.16</f>
        <v>0</v>
      </c>
    </row>
    <row r="12" spans="1:12" s="75" customFormat="1" ht="15" customHeight="1" collapsed="1" x14ac:dyDescent="0.3">
      <c r="B12" s="73"/>
      <c r="C12" s="16"/>
      <c r="D12" s="47"/>
      <c r="E12" s="74"/>
      <c r="F12" s="44"/>
      <c r="G12" s="44"/>
      <c r="H12" s="44"/>
      <c r="I12" s="44"/>
      <c r="J12" s="44"/>
      <c r="K12" s="44"/>
      <c r="L12" s="46"/>
    </row>
    <row r="13" spans="1:12" x14ac:dyDescent="0.25">
      <c r="B13" s="73"/>
      <c r="C13" s="16"/>
      <c r="D13" s="16" t="s">
        <v>54</v>
      </c>
      <c r="E13" s="47"/>
      <c r="F13" s="76">
        <f>SUM(F14)</f>
        <v>0</v>
      </c>
      <c r="G13" s="44">
        <v>0</v>
      </c>
      <c r="H13" s="44">
        <f t="shared" ref="H13:L13" si="4">SUM(H14)</f>
        <v>0</v>
      </c>
      <c r="I13" s="44">
        <f t="shared" si="4"/>
        <v>0</v>
      </c>
      <c r="J13" s="44">
        <f>SUM(J14)</f>
        <v>0</v>
      </c>
      <c r="K13" s="44">
        <f t="shared" si="4"/>
        <v>0</v>
      </c>
      <c r="L13" s="46">
        <f t="shared" si="4"/>
        <v>0</v>
      </c>
    </row>
    <row r="14" spans="1:12" ht="14.45" hidden="1" outlineLevel="1" x14ac:dyDescent="0.3">
      <c r="B14" s="73"/>
      <c r="C14" s="16"/>
      <c r="D14" s="16"/>
      <c r="E14" s="47"/>
      <c r="F14" s="76"/>
      <c r="G14" s="44"/>
      <c r="H14" s="44"/>
      <c r="I14" s="44"/>
      <c r="J14" s="44"/>
      <c r="K14" s="44"/>
      <c r="L14" s="46"/>
    </row>
    <row r="15" spans="1:12" ht="14.45" collapsed="1" x14ac:dyDescent="0.3">
      <c r="B15" s="100"/>
      <c r="C15" s="16"/>
      <c r="D15" s="16" t="s">
        <v>7</v>
      </c>
      <c r="E15" s="47"/>
      <c r="F15" s="76">
        <f>SUM(F16)</f>
        <v>0</v>
      </c>
      <c r="G15" s="44">
        <f t="shared" ref="G15:L15" si="5">SUM(G16)</f>
        <v>0</v>
      </c>
      <c r="H15" s="44">
        <f t="shared" si="5"/>
        <v>0</v>
      </c>
      <c r="I15" s="44">
        <f t="shared" si="5"/>
        <v>0</v>
      </c>
      <c r="J15" s="44">
        <f t="shared" si="5"/>
        <v>0</v>
      </c>
      <c r="K15" s="44">
        <f t="shared" si="5"/>
        <v>0</v>
      </c>
      <c r="L15" s="46">
        <f t="shared" si="5"/>
        <v>0</v>
      </c>
    </row>
    <row r="16" spans="1:12" ht="14.45" hidden="1" outlineLevel="1" x14ac:dyDescent="0.3">
      <c r="B16" s="100"/>
      <c r="C16" s="154"/>
      <c r="D16" s="154"/>
      <c r="E16" s="155"/>
      <c r="F16" s="156"/>
      <c r="G16" s="77"/>
      <c r="H16" s="77"/>
      <c r="I16" s="77"/>
      <c r="J16" s="77"/>
      <c r="K16" s="77"/>
      <c r="L16" s="157"/>
    </row>
    <row r="17" spans="2:16" ht="14.45" collapsed="1" x14ac:dyDescent="0.3">
      <c r="B17" s="102"/>
      <c r="C17" s="97" t="s">
        <v>8</v>
      </c>
      <c r="D17" s="97"/>
      <c r="E17" s="97"/>
      <c r="F17" s="103">
        <f t="shared" ref="F17:L17" si="6">SUM(F18,F31,F36)</f>
        <v>20509681095.720001</v>
      </c>
      <c r="G17" s="103">
        <f t="shared" si="6"/>
        <v>0</v>
      </c>
      <c r="H17" s="103">
        <f>SUM(H18,H31,H36)</f>
        <v>62187328.470000006</v>
      </c>
      <c r="I17" s="103">
        <f t="shared" si="6"/>
        <v>0</v>
      </c>
      <c r="J17" s="103">
        <f>SUM(J18,J31,J36)</f>
        <v>20447493767.25</v>
      </c>
      <c r="K17" s="103">
        <f>SUM(K18,K31,K36)</f>
        <v>413853734.26957047</v>
      </c>
      <c r="L17" s="104">
        <f t="shared" si="6"/>
        <v>0</v>
      </c>
    </row>
    <row r="18" spans="2:16" x14ac:dyDescent="0.25">
      <c r="B18" s="100"/>
      <c r="C18" s="105"/>
      <c r="D18" s="16" t="s">
        <v>55</v>
      </c>
      <c r="E18" s="47"/>
      <c r="F18" s="44">
        <f>SUM(F19:F30)</f>
        <v>20509681095.720001</v>
      </c>
      <c r="G18" s="44">
        <f>SUM(G19:G30)</f>
        <v>0</v>
      </c>
      <c r="H18" s="44">
        <f>SUM(H19:H30)</f>
        <v>62187328.470000006</v>
      </c>
      <c r="I18" s="44">
        <f t="shared" ref="I18:L18" si="7">SUM(I19:I26)</f>
        <v>0</v>
      </c>
      <c r="J18" s="44">
        <f>+F18+G18-H18+I18</f>
        <v>20447493767.25</v>
      </c>
      <c r="K18" s="44">
        <f>SUM(K19:K30)</f>
        <v>413853734.26957047</v>
      </c>
      <c r="L18" s="46">
        <f t="shared" si="7"/>
        <v>0</v>
      </c>
    </row>
    <row r="19" spans="2:16" ht="14.45" x14ac:dyDescent="0.3">
      <c r="B19" s="100"/>
      <c r="C19" s="88">
        <v>2</v>
      </c>
      <c r="D19" s="105"/>
      <c r="E19" s="60" t="s">
        <v>135</v>
      </c>
      <c r="F19" s="44">
        <v>4369921994.1000004</v>
      </c>
      <c r="G19" s="44">
        <v>0</v>
      </c>
      <c r="H19" s="44">
        <v>13527404.720000001</v>
      </c>
      <c r="I19" s="44"/>
      <c r="J19" s="44">
        <v>4356394589.3800001</v>
      </c>
      <c r="K19" s="44">
        <v>89110229.097194329</v>
      </c>
      <c r="L19" s="46">
        <v>0</v>
      </c>
    </row>
    <row r="20" spans="2:16" ht="14.45" x14ac:dyDescent="0.3">
      <c r="B20" s="100"/>
      <c r="C20" s="88">
        <v>3</v>
      </c>
      <c r="D20" s="105"/>
      <c r="E20" s="60" t="s">
        <v>61</v>
      </c>
      <c r="F20" s="44">
        <v>1333723159.5600002</v>
      </c>
      <c r="G20" s="44">
        <v>0</v>
      </c>
      <c r="H20" s="44">
        <v>6892430.7199999988</v>
      </c>
      <c r="I20" s="44"/>
      <c r="J20" s="44">
        <v>1326830728.8400002</v>
      </c>
      <c r="K20" s="44">
        <v>27836583.084108889</v>
      </c>
      <c r="L20" s="46">
        <v>0</v>
      </c>
    </row>
    <row r="21" spans="2:16" ht="14.45" x14ac:dyDescent="0.3">
      <c r="B21" s="100"/>
      <c r="C21" s="88">
        <v>4</v>
      </c>
      <c r="D21" s="105"/>
      <c r="E21" s="60" t="s">
        <v>149</v>
      </c>
      <c r="F21" s="44">
        <v>1666508115.05</v>
      </c>
      <c r="G21" s="44">
        <v>0</v>
      </c>
      <c r="H21" s="44">
        <v>5158794.54</v>
      </c>
      <c r="I21" s="44"/>
      <c r="J21" s="44">
        <v>1661349320.51</v>
      </c>
      <c r="K21" s="44">
        <v>32510046.189169765</v>
      </c>
      <c r="L21" s="46">
        <v>0</v>
      </c>
    </row>
    <row r="22" spans="2:16" ht="14.45" x14ac:dyDescent="0.3">
      <c r="B22" s="100"/>
      <c r="C22" s="88">
        <v>5</v>
      </c>
      <c r="D22" s="105"/>
      <c r="E22" s="60" t="s">
        <v>150</v>
      </c>
      <c r="F22" s="44">
        <v>1969846990.9100001</v>
      </c>
      <c r="G22" s="44">
        <v>0</v>
      </c>
      <c r="H22" s="44">
        <v>6097801.6300000008</v>
      </c>
      <c r="I22" s="44"/>
      <c r="J22" s="44">
        <v>1963749189.28</v>
      </c>
      <c r="K22" s="44">
        <v>38427545.645723283</v>
      </c>
      <c r="L22" s="46">
        <v>0</v>
      </c>
    </row>
    <row r="23" spans="2:16" ht="14.45" x14ac:dyDescent="0.3">
      <c r="B23" s="100"/>
      <c r="C23" s="88">
        <v>6</v>
      </c>
      <c r="D23" s="105"/>
      <c r="E23" s="60" t="s">
        <v>151</v>
      </c>
      <c r="F23" s="44">
        <v>1340109411.5099995</v>
      </c>
      <c r="G23" s="44">
        <v>0</v>
      </c>
      <c r="H23" s="44">
        <v>4148404.1099999994</v>
      </c>
      <c r="I23" s="44"/>
      <c r="J23" s="44">
        <v>1335961007.3999996</v>
      </c>
      <c r="K23" s="44">
        <v>26142698.300259475</v>
      </c>
      <c r="L23" s="46">
        <v>0</v>
      </c>
    </row>
    <row r="24" spans="2:16" ht="14.45" x14ac:dyDescent="0.3">
      <c r="B24" s="100"/>
      <c r="C24" s="88">
        <v>11</v>
      </c>
      <c r="D24" s="105"/>
      <c r="E24" s="60" t="s">
        <v>59</v>
      </c>
      <c r="F24" s="44">
        <v>1959267463.0900002</v>
      </c>
      <c r="G24" s="44">
        <v>0</v>
      </c>
      <c r="H24" s="44">
        <v>5136447.03</v>
      </c>
      <c r="I24" s="44"/>
      <c r="J24" s="44">
        <v>1954131016.0600002</v>
      </c>
      <c r="K24" s="44">
        <v>37732302.069012478</v>
      </c>
      <c r="L24" s="46">
        <v>0</v>
      </c>
    </row>
    <row r="25" spans="2:16" ht="14.45" x14ac:dyDescent="0.3">
      <c r="B25" s="100"/>
      <c r="C25" s="88">
        <v>12</v>
      </c>
      <c r="D25" s="105"/>
      <c r="E25" s="60" t="s">
        <v>63</v>
      </c>
      <c r="F25" s="44">
        <v>982018201.31999981</v>
      </c>
      <c r="G25" s="44">
        <v>0</v>
      </c>
      <c r="H25" s="44">
        <v>2574474.6799999997</v>
      </c>
      <c r="I25" s="44"/>
      <c r="J25" s="44">
        <v>979443726.63999987</v>
      </c>
      <c r="K25" s="44">
        <v>17671961.53269349</v>
      </c>
      <c r="L25" s="46">
        <v>0</v>
      </c>
    </row>
    <row r="26" spans="2:16" ht="14.45" x14ac:dyDescent="0.3">
      <c r="B26" s="100"/>
      <c r="C26" s="88">
        <v>20</v>
      </c>
      <c r="D26" s="105"/>
      <c r="E26" s="60" t="s">
        <v>59</v>
      </c>
      <c r="F26" s="44">
        <v>1308887423.49</v>
      </c>
      <c r="G26" s="44">
        <v>0</v>
      </c>
      <c r="H26" s="44">
        <v>2910985.2800000003</v>
      </c>
      <c r="I26" s="44"/>
      <c r="J26" s="44">
        <v>1305976438.21</v>
      </c>
      <c r="K26" s="44">
        <v>24549110.449921265</v>
      </c>
      <c r="L26" s="46">
        <v>0</v>
      </c>
    </row>
    <row r="27" spans="2:16" ht="14.45" x14ac:dyDescent="0.3">
      <c r="B27" s="100"/>
      <c r="C27" s="88"/>
      <c r="D27" s="105"/>
      <c r="E27" s="60"/>
      <c r="F27" s="44"/>
      <c r="G27" s="44"/>
      <c r="H27" s="44"/>
      <c r="I27" s="44"/>
      <c r="J27" s="44"/>
      <c r="K27" s="44"/>
      <c r="L27" s="46"/>
    </row>
    <row r="28" spans="2:16" ht="14.45" x14ac:dyDescent="0.3">
      <c r="B28" s="100"/>
      <c r="C28" s="88">
        <v>80663</v>
      </c>
      <c r="D28" s="105"/>
      <c r="E28" s="60" t="s">
        <v>152</v>
      </c>
      <c r="F28" s="44">
        <v>4607232647.1300001</v>
      </c>
      <c r="G28" s="44">
        <v>0</v>
      </c>
      <c r="H28" s="44">
        <v>12997914.16</v>
      </c>
      <c r="I28" s="44"/>
      <c r="J28" s="44">
        <v>4594234732.9700003</v>
      </c>
      <c r="K28" s="44">
        <v>98986298.162185878</v>
      </c>
      <c r="L28" s="46">
        <v>0</v>
      </c>
    </row>
    <row r="29" spans="2:16" ht="14.45" x14ac:dyDescent="0.3">
      <c r="B29" s="100"/>
      <c r="C29" s="88">
        <v>80645</v>
      </c>
      <c r="D29" s="105"/>
      <c r="E29" s="60" t="s">
        <v>153</v>
      </c>
      <c r="F29" s="44">
        <v>972165689.55999982</v>
      </c>
      <c r="G29" s="44">
        <v>0</v>
      </c>
      <c r="H29" s="44">
        <v>2742671.5999999996</v>
      </c>
      <c r="I29" s="44"/>
      <c r="J29" s="44">
        <v>969423017.9599998</v>
      </c>
      <c r="K29" s="44">
        <v>20886959.739301678</v>
      </c>
      <c r="L29" s="46">
        <v>0</v>
      </c>
    </row>
    <row r="30" spans="2:16" ht="14.45" x14ac:dyDescent="0.3">
      <c r="B30" s="100"/>
      <c r="C30" s="105"/>
      <c r="D30" s="105"/>
      <c r="E30" s="16"/>
      <c r="F30" s="44"/>
      <c r="G30" s="44"/>
      <c r="H30" s="44"/>
      <c r="I30" s="44"/>
      <c r="J30" s="44"/>
      <c r="K30" s="44"/>
      <c r="L30" s="46"/>
    </row>
    <row r="31" spans="2:16" x14ac:dyDescent="0.25">
      <c r="B31" s="100"/>
      <c r="C31" s="16"/>
      <c r="D31" s="16" t="s">
        <v>56</v>
      </c>
      <c r="E31" s="47"/>
      <c r="F31" s="44">
        <f>SUM(F32)</f>
        <v>0</v>
      </c>
      <c r="G31" s="44">
        <f t="shared" ref="G31:L31" si="8">SUM(G32)</f>
        <v>0</v>
      </c>
      <c r="H31" s="44">
        <f t="shared" si="8"/>
        <v>0</v>
      </c>
      <c r="I31" s="44">
        <f t="shared" si="8"/>
        <v>0</v>
      </c>
      <c r="J31" s="44">
        <f>+F31+G31-H31+I31</f>
        <v>0</v>
      </c>
      <c r="K31" s="44">
        <f t="shared" si="8"/>
        <v>0</v>
      </c>
      <c r="L31" s="46">
        <f t="shared" si="8"/>
        <v>0</v>
      </c>
    </row>
    <row r="32" spans="2:16" ht="14.45" x14ac:dyDescent="0.3">
      <c r="B32" s="100"/>
      <c r="C32" s="16"/>
      <c r="D32" s="16"/>
      <c r="E32" s="47"/>
      <c r="F32" s="44"/>
      <c r="G32" s="44"/>
      <c r="H32" s="44"/>
      <c r="I32" s="44"/>
      <c r="J32" s="44">
        <f t="shared" ref="J32:J37" si="9">+F32+G32-H32+I32</f>
        <v>0</v>
      </c>
      <c r="K32" s="44"/>
      <c r="L32" s="46"/>
      <c r="O32" s="159"/>
      <c r="P32" s="159"/>
    </row>
    <row r="33" spans="2:15" ht="14.45" x14ac:dyDescent="0.3">
      <c r="B33" s="100"/>
      <c r="C33" s="16"/>
      <c r="D33" s="16"/>
      <c r="E33" s="47"/>
      <c r="F33" s="44"/>
      <c r="G33" s="44"/>
      <c r="H33" s="44"/>
      <c r="I33" s="44"/>
      <c r="J33" s="44">
        <f t="shared" si="9"/>
        <v>0</v>
      </c>
      <c r="K33" s="44"/>
      <c r="L33" s="46"/>
    </row>
    <row r="34" spans="2:15" ht="14.45" x14ac:dyDescent="0.3">
      <c r="B34" s="100"/>
      <c r="C34" s="16"/>
      <c r="D34" s="16"/>
      <c r="E34" s="47"/>
      <c r="F34" s="44"/>
      <c r="G34" s="44"/>
      <c r="H34" s="44"/>
      <c r="I34" s="44"/>
      <c r="J34" s="44">
        <f t="shared" si="9"/>
        <v>0</v>
      </c>
      <c r="K34" s="44"/>
      <c r="L34" s="46"/>
    </row>
    <row r="35" spans="2:15" ht="14.45" x14ac:dyDescent="0.3">
      <c r="B35" s="100"/>
      <c r="C35" s="16"/>
      <c r="D35" s="16"/>
      <c r="E35" s="47"/>
      <c r="F35" s="44"/>
      <c r="G35" s="44"/>
      <c r="H35" s="44"/>
      <c r="I35" s="44"/>
      <c r="J35" s="44">
        <f t="shared" si="9"/>
        <v>0</v>
      </c>
      <c r="K35" s="44"/>
      <c r="L35" s="46"/>
    </row>
    <row r="36" spans="2:15" ht="14.45" x14ac:dyDescent="0.3">
      <c r="B36" s="100"/>
      <c r="C36" s="16"/>
      <c r="D36" s="16" t="s">
        <v>17</v>
      </c>
      <c r="E36" s="47"/>
      <c r="F36" s="44">
        <f>SUM(F37)</f>
        <v>0</v>
      </c>
      <c r="G36" s="44">
        <f t="shared" ref="G36:I36" si="10">SUM(G37)</f>
        <v>0</v>
      </c>
      <c r="H36" s="44">
        <f t="shared" si="10"/>
        <v>0</v>
      </c>
      <c r="I36" s="44">
        <f t="shared" si="10"/>
        <v>0</v>
      </c>
      <c r="J36" s="44">
        <f>+F36+G36-H36+I36</f>
        <v>0</v>
      </c>
      <c r="K36" s="44">
        <f t="shared" ref="K36:L36" si="11">SUM(K37)</f>
        <v>0</v>
      </c>
      <c r="L36" s="46">
        <f t="shared" si="11"/>
        <v>0</v>
      </c>
    </row>
    <row r="37" spans="2:15" ht="14.45" x14ac:dyDescent="0.3">
      <c r="B37" s="100"/>
      <c r="C37" s="16"/>
      <c r="D37" s="16"/>
      <c r="E37" s="47"/>
      <c r="F37" s="44"/>
      <c r="G37" s="44"/>
      <c r="H37" s="44"/>
      <c r="I37" s="44"/>
      <c r="J37" s="44">
        <f t="shared" si="9"/>
        <v>0</v>
      </c>
      <c r="K37" s="44"/>
      <c r="L37" s="46"/>
    </row>
    <row r="38" spans="2:15" ht="15" customHeight="1" x14ac:dyDescent="0.3">
      <c r="B38" s="106" t="s">
        <v>18</v>
      </c>
      <c r="C38" s="107"/>
      <c r="D38" s="107"/>
      <c r="E38" s="107"/>
      <c r="F38" s="108">
        <v>4607973672</v>
      </c>
      <c r="G38" s="108"/>
      <c r="H38" s="108"/>
      <c r="I38" s="108"/>
      <c r="J38" s="108">
        <v>6214196552</v>
      </c>
      <c r="K38" s="108">
        <v>0</v>
      </c>
      <c r="L38" s="109">
        <v>0</v>
      </c>
    </row>
    <row r="39" spans="2:15" x14ac:dyDescent="0.25">
      <c r="B39" s="106" t="s">
        <v>19</v>
      </c>
      <c r="C39" s="107"/>
      <c r="D39" s="107"/>
      <c r="E39" s="107"/>
      <c r="F39" s="149">
        <f>F7+F38</f>
        <v>26617654767.720001</v>
      </c>
      <c r="G39" s="149">
        <f t="shared" ref="G39:L39" si="12">G7+G38</f>
        <v>0</v>
      </c>
      <c r="H39" s="149">
        <f t="shared" si="12"/>
        <v>512187328.47000003</v>
      </c>
      <c r="I39" s="149">
        <f t="shared" si="12"/>
        <v>0</v>
      </c>
      <c r="J39" s="149">
        <f t="shared" si="12"/>
        <v>27711690319.25</v>
      </c>
      <c r="K39" s="149">
        <f t="shared" si="12"/>
        <v>438636525.93623716</v>
      </c>
      <c r="L39" s="149">
        <f t="shared" si="12"/>
        <v>0</v>
      </c>
    </row>
    <row r="40" spans="2:15" x14ac:dyDescent="0.25">
      <c r="B40" s="92" t="s">
        <v>20</v>
      </c>
      <c r="C40" s="93"/>
      <c r="D40" s="93"/>
      <c r="E40" s="93"/>
      <c r="F40" s="94"/>
      <c r="G40" s="94"/>
      <c r="H40" s="94"/>
      <c r="I40" s="94"/>
      <c r="J40" s="94"/>
      <c r="K40" s="94"/>
      <c r="L40" s="95"/>
    </row>
    <row r="41" spans="2:15" ht="14.45" x14ac:dyDescent="0.3">
      <c r="B41" s="100"/>
      <c r="C41" s="110" t="s">
        <v>141</v>
      </c>
      <c r="D41" s="111" t="s">
        <v>65</v>
      </c>
      <c r="E41" s="62" t="s">
        <v>58</v>
      </c>
      <c r="F41" s="44">
        <v>285426615.46000105</v>
      </c>
      <c r="G41" s="44">
        <v>0</v>
      </c>
      <c r="H41" s="72">
        <v>8002615.3799999999</v>
      </c>
      <c r="I41" s="44">
        <v>0</v>
      </c>
      <c r="J41" s="44">
        <v>277424000.08000106</v>
      </c>
      <c r="K41" s="72">
        <v>5779907.8581743306</v>
      </c>
      <c r="L41" s="46"/>
      <c r="N41" s="86"/>
      <c r="O41" s="84"/>
    </row>
    <row r="42" spans="2:15" ht="14.45" x14ac:dyDescent="0.3">
      <c r="B42" s="100"/>
      <c r="C42" s="110" t="s">
        <v>141</v>
      </c>
      <c r="D42" s="111" t="s">
        <v>64</v>
      </c>
      <c r="E42" s="62" t="s">
        <v>63</v>
      </c>
      <c r="F42" s="44">
        <v>288094154</v>
      </c>
      <c r="G42" s="44">
        <v>0</v>
      </c>
      <c r="H42" s="72">
        <v>8002615.3799999999</v>
      </c>
      <c r="I42" s="44">
        <v>0</v>
      </c>
      <c r="J42" s="44">
        <v>280091538.62</v>
      </c>
      <c r="K42" s="72">
        <v>5973646.1009572735</v>
      </c>
      <c r="L42" s="46"/>
      <c r="O42" s="84"/>
    </row>
    <row r="43" spans="2:15" ht="14.45" x14ac:dyDescent="0.3">
      <c r="B43" s="100"/>
      <c r="C43" s="110" t="s">
        <v>142</v>
      </c>
      <c r="D43" s="111" t="s">
        <v>66</v>
      </c>
      <c r="E43" s="60" t="s">
        <v>134</v>
      </c>
      <c r="F43" s="44">
        <v>5988036324</v>
      </c>
      <c r="G43" s="44">
        <v>0</v>
      </c>
      <c r="H43" s="72">
        <v>1000000</v>
      </c>
      <c r="I43" s="44">
        <v>0</v>
      </c>
      <c r="J43" s="44">
        <v>5987036323.5</v>
      </c>
      <c r="K43" s="72">
        <v>249531836.22977149</v>
      </c>
      <c r="L43" s="46"/>
      <c r="O43" s="84"/>
    </row>
    <row r="44" spans="2:15" ht="14.45" x14ac:dyDescent="0.3">
      <c r="B44" s="100"/>
      <c r="C44" s="112">
        <v>80634</v>
      </c>
      <c r="D44" s="111" t="s">
        <v>67</v>
      </c>
      <c r="E44" s="60" t="s">
        <v>140</v>
      </c>
      <c r="F44" s="44">
        <v>2480249999</v>
      </c>
      <c r="G44" s="44">
        <v>0</v>
      </c>
      <c r="H44" s="72">
        <v>39600000</v>
      </c>
      <c r="I44" s="44">
        <v>0</v>
      </c>
      <c r="J44" s="44">
        <v>2440649999</v>
      </c>
      <c r="K44" s="72">
        <v>47620800.000799999</v>
      </c>
      <c r="L44" s="46"/>
    </row>
    <row r="45" spans="2:15" ht="14.45" x14ac:dyDescent="0.3">
      <c r="B45" s="100"/>
      <c r="C45" s="110" t="s">
        <v>142</v>
      </c>
      <c r="D45" s="111" t="s">
        <v>72</v>
      </c>
      <c r="E45" s="60" t="s">
        <v>143</v>
      </c>
      <c r="F45" s="44">
        <v>15419238207</v>
      </c>
      <c r="G45" s="44"/>
      <c r="H45" s="72">
        <v>-452492800.46678352</v>
      </c>
      <c r="I45" s="44">
        <v>0</v>
      </c>
      <c r="J45" s="44">
        <v>15871731007.466784</v>
      </c>
      <c r="K45" s="72">
        <v>511362813.82230222</v>
      </c>
      <c r="L45" s="46"/>
    </row>
    <row r="46" spans="2:15" ht="14.45" x14ac:dyDescent="0.3">
      <c r="B46" s="100"/>
      <c r="C46" s="75"/>
      <c r="D46" s="75"/>
      <c r="E46" s="75"/>
      <c r="F46" s="75"/>
      <c r="G46" s="75"/>
      <c r="H46" s="75"/>
      <c r="I46" s="75"/>
      <c r="J46" s="158"/>
      <c r="K46" s="75"/>
      <c r="L46" s="114"/>
      <c r="N46" s="86"/>
    </row>
    <row r="47" spans="2:15" s="6" customFormat="1" x14ac:dyDescent="0.25">
      <c r="B47" s="92" t="s">
        <v>21</v>
      </c>
      <c r="C47" s="93"/>
      <c r="D47" s="93"/>
      <c r="E47" s="93"/>
      <c r="F47" s="94"/>
      <c r="G47" s="94"/>
      <c r="H47" s="94"/>
      <c r="I47" s="94"/>
      <c r="J47" s="94"/>
      <c r="K47" s="94"/>
      <c r="L47" s="95"/>
      <c r="M47"/>
    </row>
    <row r="48" spans="2:15" x14ac:dyDescent="0.25">
      <c r="B48" s="73"/>
      <c r="C48" s="146">
        <v>1400</v>
      </c>
      <c r="D48" s="111" t="s">
        <v>65</v>
      </c>
      <c r="E48" s="62" t="s">
        <v>138</v>
      </c>
      <c r="F48" s="44">
        <v>982226000</v>
      </c>
      <c r="G48" s="44">
        <v>0</v>
      </c>
      <c r="H48" s="44">
        <v>0</v>
      </c>
      <c r="I48" s="48">
        <v>-43962800</v>
      </c>
      <c r="J48" s="44">
        <v>938263200</v>
      </c>
      <c r="K48" s="44">
        <v>33407392.096131995</v>
      </c>
      <c r="L48" s="174">
        <v>24405.239999999998</v>
      </c>
    </row>
    <row r="49" spans="1:12" x14ac:dyDescent="0.25">
      <c r="B49" s="73"/>
      <c r="C49" s="146">
        <v>1200</v>
      </c>
      <c r="D49" s="111" t="s">
        <v>64</v>
      </c>
      <c r="E49" s="62" t="s">
        <v>139</v>
      </c>
      <c r="F49" s="44">
        <v>852510000</v>
      </c>
      <c r="G49" s="44">
        <v>0</v>
      </c>
      <c r="H49" s="44">
        <v>0</v>
      </c>
      <c r="I49" s="48">
        <v>-37255200</v>
      </c>
      <c r="J49" s="44">
        <v>815254800</v>
      </c>
      <c r="K49" s="44">
        <v>27090000</v>
      </c>
      <c r="L49" s="164"/>
    </row>
    <row r="50" spans="1:12" x14ac:dyDescent="0.25">
      <c r="B50" s="73"/>
      <c r="C50" s="146">
        <v>1020</v>
      </c>
      <c r="D50" s="111" t="s">
        <v>66</v>
      </c>
      <c r="E50" s="62" t="s">
        <v>138</v>
      </c>
      <c r="F50" s="44">
        <v>742359060</v>
      </c>
      <c r="G50" s="44">
        <v>0</v>
      </c>
      <c r="H50" s="44">
        <v>0</v>
      </c>
      <c r="I50" s="48">
        <v>-30786660</v>
      </c>
      <c r="J50" s="44">
        <v>711572400</v>
      </c>
      <c r="K50" s="44">
        <v>20464399.999999996</v>
      </c>
      <c r="L50" s="164"/>
    </row>
    <row r="51" spans="1:12" x14ac:dyDescent="0.25">
      <c r="B51" s="73"/>
      <c r="C51" s="146">
        <v>657</v>
      </c>
      <c r="D51" s="111" t="s">
        <v>67</v>
      </c>
      <c r="E51" s="62" t="s">
        <v>138</v>
      </c>
      <c r="F51" s="44">
        <v>637014515</v>
      </c>
      <c r="G51" s="44">
        <v>0</v>
      </c>
      <c r="H51" s="44">
        <v>0</v>
      </c>
      <c r="I51" s="48">
        <v>-195969234.36000001</v>
      </c>
      <c r="J51" s="44">
        <v>441045280.63999999</v>
      </c>
      <c r="K51" s="44">
        <v>13347338.698958891</v>
      </c>
      <c r="L51" s="164"/>
    </row>
    <row r="52" spans="1:12" ht="14.45" x14ac:dyDescent="0.3">
      <c r="B52" s="73"/>
      <c r="C52" s="16"/>
      <c r="D52" s="47"/>
      <c r="E52" s="47"/>
      <c r="F52" s="44"/>
      <c r="G52" s="44"/>
      <c r="H52" s="44"/>
      <c r="I52" s="44"/>
      <c r="J52" s="44"/>
      <c r="K52" s="44"/>
      <c r="L52" s="46"/>
    </row>
    <row r="53" spans="1:12" ht="14.45" x14ac:dyDescent="0.3">
      <c r="B53" s="116"/>
      <c r="C53" s="117"/>
      <c r="D53" s="118"/>
      <c r="E53" s="118"/>
      <c r="F53" s="119"/>
      <c r="G53" s="119"/>
      <c r="H53" s="119"/>
      <c r="I53" s="119"/>
      <c r="J53" s="119"/>
      <c r="K53" s="119"/>
      <c r="L53" s="120"/>
    </row>
    <row r="54" spans="1:12" ht="14.45" x14ac:dyDescent="0.3">
      <c r="B54" s="15"/>
      <c r="C54" s="15"/>
      <c r="D54" s="13"/>
      <c r="E54" s="13"/>
      <c r="F54" s="20"/>
      <c r="G54" s="20"/>
      <c r="H54" s="20"/>
      <c r="I54" s="20"/>
      <c r="J54" s="20"/>
      <c r="K54" s="20"/>
      <c r="L54" s="20"/>
    </row>
    <row r="55" spans="1:12" s="84" customFormat="1" ht="14.45" x14ac:dyDescent="0.3">
      <c r="B55" s="15"/>
      <c r="C55" s="15"/>
      <c r="D55" s="13"/>
      <c r="E55" s="13"/>
      <c r="F55" s="20"/>
      <c r="G55" s="20"/>
      <c r="H55" s="20"/>
      <c r="I55" s="20"/>
      <c r="J55" s="20"/>
      <c r="K55" s="20"/>
      <c r="L55" s="20"/>
    </row>
    <row r="56" spans="1:12" s="84" customFormat="1" x14ac:dyDescent="0.25">
      <c r="B56" s="15"/>
      <c r="C56" s="15"/>
      <c r="D56" s="177" t="s">
        <v>62</v>
      </c>
      <c r="E56" s="177"/>
      <c r="F56" s="178" t="s">
        <v>24</v>
      </c>
      <c r="G56" s="178" t="s">
        <v>145</v>
      </c>
      <c r="H56" s="178" t="s">
        <v>25</v>
      </c>
      <c r="I56" s="178" t="s">
        <v>26</v>
      </c>
      <c r="J56" s="178" t="s">
        <v>27</v>
      </c>
      <c r="K56" s="20"/>
      <c r="L56" s="20"/>
    </row>
    <row r="57" spans="1:12" s="84" customFormat="1" x14ac:dyDescent="0.25">
      <c r="B57" s="15"/>
      <c r="C57" s="15"/>
      <c r="D57" s="178"/>
      <c r="E57" s="178"/>
      <c r="F57" s="179"/>
      <c r="G57" s="179"/>
      <c r="H57" s="179"/>
      <c r="I57" s="179"/>
      <c r="J57" s="179"/>
      <c r="K57" s="20"/>
      <c r="L57" s="20"/>
    </row>
    <row r="58" spans="1:12" s="84" customFormat="1" ht="14.45" x14ac:dyDescent="0.3">
      <c r="B58" s="15"/>
      <c r="C58" s="15"/>
      <c r="D58" s="141" t="s">
        <v>65</v>
      </c>
      <c r="E58" s="142" t="s">
        <v>90</v>
      </c>
      <c r="F58" s="150">
        <v>1800000000</v>
      </c>
      <c r="G58" s="143">
        <v>12</v>
      </c>
      <c r="H58" s="143" t="s">
        <v>146</v>
      </c>
      <c r="I58" s="151">
        <v>8352000</v>
      </c>
      <c r="J58" s="144">
        <v>6.7446887201818156E-2</v>
      </c>
      <c r="K58" s="20"/>
      <c r="L58" s="20"/>
    </row>
    <row r="59" spans="1:12" s="84" customFormat="1" ht="14.45" x14ac:dyDescent="0.3">
      <c r="B59" s="15"/>
      <c r="C59" s="15"/>
      <c r="D59" s="13"/>
      <c r="E59" s="13"/>
      <c r="F59" s="20"/>
      <c r="G59" s="20"/>
      <c r="H59" s="20"/>
      <c r="I59" s="20"/>
      <c r="J59" s="20"/>
      <c r="K59" s="20"/>
      <c r="L59" s="20"/>
    </row>
    <row r="60" spans="1:12" s="84" customFormat="1" ht="14.45" x14ac:dyDescent="0.3">
      <c r="B60" s="15"/>
      <c r="C60" s="15"/>
      <c r="D60" s="13"/>
      <c r="E60" s="13"/>
      <c r="F60" s="20"/>
      <c r="G60" s="20"/>
      <c r="H60" s="20"/>
      <c r="I60" s="20"/>
      <c r="J60" s="20"/>
      <c r="K60" s="20"/>
      <c r="L60" s="20"/>
    </row>
    <row r="61" spans="1:12" s="84" customFormat="1" ht="14.45" x14ac:dyDescent="0.3">
      <c r="B61" s="15"/>
      <c r="C61" s="15"/>
      <c r="D61" s="13"/>
      <c r="E61" s="13"/>
      <c r="F61" s="20"/>
      <c r="G61" s="20"/>
      <c r="H61" s="20"/>
      <c r="I61" s="20"/>
      <c r="J61" s="20"/>
      <c r="K61" s="20"/>
      <c r="L61" s="20"/>
    </row>
    <row r="62" spans="1:12" ht="20.25" customHeight="1" x14ac:dyDescent="0.25">
      <c r="A62" s="162" t="s">
        <v>23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</row>
    <row r="63" spans="1:12" ht="20.25" customHeight="1" x14ac:dyDescent="0.2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</row>
    <row r="64" spans="1:12" ht="20.25" customHeight="1" x14ac:dyDescent="0.25">
      <c r="A64" s="87" t="s">
        <v>137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20.25" customHeight="1" x14ac:dyDescent="0.25">
      <c r="A65" s="162" t="s">
        <v>136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</row>
    <row r="66" spans="1:12" ht="22.1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</row>
    <row r="67" spans="1:12" ht="20.25" customHeight="1" x14ac:dyDescent="0.3">
      <c r="A67" s="153" t="s">
        <v>144</v>
      </c>
      <c r="C67" s="147"/>
      <c r="D67" s="147"/>
      <c r="E67" s="147"/>
      <c r="F67" s="152"/>
      <c r="G67" s="147"/>
      <c r="H67" s="147"/>
      <c r="I67" s="152"/>
      <c r="J67" s="147"/>
      <c r="K67" s="147"/>
      <c r="L67" s="147"/>
    </row>
    <row r="68" spans="1:12" ht="20.25" customHeight="1" x14ac:dyDescent="0.3">
      <c r="B68" s="147"/>
      <c r="C68" s="147"/>
      <c r="D68" s="147"/>
      <c r="E68" s="147"/>
      <c r="F68" s="152"/>
      <c r="G68" s="147"/>
      <c r="H68" s="147"/>
      <c r="I68" s="152"/>
      <c r="J68" s="147"/>
      <c r="K68" s="147"/>
      <c r="L68" s="147"/>
    </row>
    <row r="69" spans="1:12" s="84" customFormat="1" ht="20.25" customHeight="1" x14ac:dyDescent="0.3">
      <c r="B69" s="147"/>
      <c r="C69" s="147"/>
      <c r="D69" s="147"/>
      <c r="E69" s="147"/>
      <c r="F69" s="152"/>
      <c r="G69" s="147"/>
      <c r="H69" s="147"/>
      <c r="I69" s="152"/>
      <c r="J69" s="147"/>
      <c r="K69" s="147"/>
      <c r="L69" s="147"/>
    </row>
    <row r="70" spans="1:12" s="84" customFormat="1" ht="20.25" customHeight="1" x14ac:dyDescent="0.3">
      <c r="B70" s="147"/>
      <c r="C70" s="147"/>
      <c r="D70" s="147"/>
      <c r="E70" s="147"/>
      <c r="F70" s="152"/>
      <c r="G70" s="147"/>
      <c r="H70" s="147"/>
      <c r="I70" s="152"/>
      <c r="J70" s="147"/>
      <c r="K70" s="147"/>
      <c r="L70" s="147"/>
    </row>
    <row r="71" spans="1:12" ht="20.25" customHeight="1" x14ac:dyDescent="0.3">
      <c r="F71" s="86"/>
      <c r="I71" s="86"/>
    </row>
    <row r="72" spans="1:12" ht="20.25" customHeight="1" x14ac:dyDescent="0.3">
      <c r="F72" s="86"/>
      <c r="I72" s="86"/>
    </row>
    <row r="73" spans="1:12" ht="14.45" x14ac:dyDescent="0.3">
      <c r="C73" s="173" t="s">
        <v>155</v>
      </c>
      <c r="D73" s="173"/>
      <c r="E73" s="173"/>
      <c r="F73" s="173"/>
      <c r="I73" s="173" t="s">
        <v>157</v>
      </c>
      <c r="J73" s="173"/>
      <c r="K73" s="173"/>
    </row>
    <row r="74" spans="1:12" x14ac:dyDescent="0.25">
      <c r="C74" s="172" t="s">
        <v>156</v>
      </c>
      <c r="D74" s="172"/>
      <c r="E74" s="172"/>
      <c r="F74" s="172"/>
      <c r="I74" s="172" t="s">
        <v>158</v>
      </c>
      <c r="J74" s="172"/>
      <c r="K74" s="172"/>
    </row>
    <row r="75" spans="1:12" ht="14.45" x14ac:dyDescent="0.3">
      <c r="I75" s="172" t="s">
        <v>159</v>
      </c>
      <c r="J75" s="172"/>
      <c r="K75" s="172"/>
    </row>
  </sheetData>
  <mergeCells count="19">
    <mergeCell ref="A62:L63"/>
    <mergeCell ref="A65:L66"/>
    <mergeCell ref="L48:L51"/>
    <mergeCell ref="B2:L2"/>
    <mergeCell ref="B3:L3"/>
    <mergeCell ref="B4:L4"/>
    <mergeCell ref="B5:L5"/>
    <mergeCell ref="B6:E6"/>
    <mergeCell ref="D56:E57"/>
    <mergeCell ref="F56:F57"/>
    <mergeCell ref="G56:G57"/>
    <mergeCell ref="H56:H57"/>
    <mergeCell ref="I56:I57"/>
    <mergeCell ref="J56:J57"/>
    <mergeCell ref="I74:K74"/>
    <mergeCell ref="I75:K75"/>
    <mergeCell ref="I73:K73"/>
    <mergeCell ref="C73:F73"/>
    <mergeCell ref="C74:F74"/>
  </mergeCells>
  <pageMargins left="0.62992125984251968" right="0.62992125984251968" top="0.74803149606299213" bottom="0.74803149606299213" header="0.31496062992125984" footer="0.31496062992125984"/>
  <pageSetup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0"/>
  <sheetViews>
    <sheetView showGridLines="0" zoomScale="80" zoomScaleNormal="80" workbookViewId="0">
      <pane xSplit="5" ySplit="6" topLeftCell="F27" activePane="bottomRight" state="frozen"/>
      <selection activeCell="D18" sqref="D18"/>
      <selection pane="topRight" activeCell="D18" sqref="D18"/>
      <selection pane="bottomLeft" activeCell="D18" sqref="D18"/>
      <selection pane="bottomRight" activeCell="N47" sqref="N47"/>
    </sheetView>
  </sheetViews>
  <sheetFormatPr baseColWidth="10" defaultRowHeight="15" outlineLevelRow="1" x14ac:dyDescent="0.25"/>
  <cols>
    <col min="1" max="1" width="3.140625" customWidth="1"/>
    <col min="2" max="2" width="3.42578125" customWidth="1"/>
    <col min="3" max="3" width="2.7109375" customWidth="1"/>
    <col min="4" max="4" width="4.140625" customWidth="1"/>
    <col min="5" max="5" width="29" customWidth="1"/>
    <col min="6" max="6" width="19.5703125" bestFit="1" customWidth="1"/>
    <col min="7" max="7" width="19.85546875" bestFit="1" customWidth="1"/>
    <col min="8" max="8" width="15.28515625" customWidth="1"/>
    <col min="9" max="9" width="15.42578125" customWidth="1"/>
    <col min="10" max="10" width="16.7109375" bestFit="1" customWidth="1"/>
    <col min="11" max="11" width="15.7109375" bestFit="1" customWidth="1"/>
    <col min="12" max="12" width="16.7109375" customWidth="1"/>
    <col min="13" max="13" width="4.5703125" customWidth="1"/>
  </cols>
  <sheetData>
    <row r="1" spans="1:23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3" s="1" customFormat="1" ht="18" x14ac:dyDescent="0.3">
      <c r="B2" s="180" t="s">
        <v>50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23" s="1" customFormat="1" ht="17.25" x14ac:dyDescent="0.25">
      <c r="B3" s="181" t="s">
        <v>2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23" s="1" customFormat="1" ht="15.6" customHeight="1" x14ac:dyDescent="0.25">
      <c r="B4" s="167" t="s">
        <v>154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23" s="1" customFormat="1" x14ac:dyDescent="0.25">
      <c r="B5" s="168" t="s">
        <v>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23" s="75" customFormat="1" ht="67.5" customHeight="1" x14ac:dyDescent="0.25">
      <c r="A6" s="121"/>
      <c r="B6" s="175" t="s">
        <v>9</v>
      </c>
      <c r="C6" s="176"/>
      <c r="D6" s="176"/>
      <c r="E6" s="176"/>
      <c r="F6" s="138" t="s">
        <v>148</v>
      </c>
      <c r="G6" s="138" t="s">
        <v>11</v>
      </c>
      <c r="H6" s="138" t="s">
        <v>12</v>
      </c>
      <c r="I6" s="138" t="s">
        <v>13</v>
      </c>
      <c r="J6" s="138" t="s">
        <v>14</v>
      </c>
      <c r="K6" s="138" t="s">
        <v>15</v>
      </c>
      <c r="L6" s="138" t="s">
        <v>16</v>
      </c>
    </row>
    <row r="7" spans="1:23" s="75" customFormat="1" x14ac:dyDescent="0.25">
      <c r="B7" s="92" t="s">
        <v>5</v>
      </c>
      <c r="C7" s="93"/>
      <c r="D7" s="93"/>
      <c r="E7" s="93"/>
      <c r="F7" s="94">
        <f t="shared" ref="F7:L7" si="0">SUM(F8,F16)</f>
        <v>22009681095.720001</v>
      </c>
      <c r="G7" s="94">
        <f t="shared" si="0"/>
        <v>0</v>
      </c>
      <c r="H7" s="94">
        <f t="shared" si="0"/>
        <v>512187328.47000003</v>
      </c>
      <c r="I7" s="94">
        <f t="shared" si="0"/>
        <v>0</v>
      </c>
      <c r="J7" s="94">
        <f t="shared" si="0"/>
        <v>21497493767.25</v>
      </c>
      <c r="K7" s="94">
        <f t="shared" si="0"/>
        <v>438636525.93623716</v>
      </c>
      <c r="L7" s="95">
        <f t="shared" si="0"/>
        <v>0</v>
      </c>
    </row>
    <row r="8" spans="1:23" s="75" customFormat="1" x14ac:dyDescent="0.25">
      <c r="B8" s="96"/>
      <c r="C8" s="97" t="s">
        <v>6</v>
      </c>
      <c r="D8" s="98"/>
      <c r="E8" s="98"/>
      <c r="F8" s="44">
        <f t="shared" ref="F8:L8" si="1">SUM(F9,F12,F14)</f>
        <v>1500000000</v>
      </c>
      <c r="G8" s="44">
        <f t="shared" si="1"/>
        <v>0</v>
      </c>
      <c r="H8" s="44">
        <f t="shared" si="1"/>
        <v>450000000</v>
      </c>
      <c r="I8" s="44">
        <f t="shared" si="1"/>
        <v>0</v>
      </c>
      <c r="J8" s="44">
        <f t="shared" si="1"/>
        <v>1050000000</v>
      </c>
      <c r="K8" s="44">
        <f t="shared" si="1"/>
        <v>24782791.666666664</v>
      </c>
      <c r="L8" s="99">
        <f t="shared" si="1"/>
        <v>0</v>
      </c>
    </row>
    <row r="9" spans="1:23" s="75" customFormat="1" x14ac:dyDescent="0.25">
      <c r="B9" s="100"/>
      <c r="C9" s="101"/>
      <c r="D9" s="74" t="s">
        <v>53</v>
      </c>
      <c r="E9" s="47"/>
      <c r="F9" s="44">
        <f>SUM(F10)</f>
        <v>1500000000</v>
      </c>
      <c r="G9" s="44">
        <f>SUM(G10)</f>
        <v>0</v>
      </c>
      <c r="H9" s="44">
        <f>SUM(H10)</f>
        <v>450000000</v>
      </c>
      <c r="I9" s="44">
        <f>SUM(I10)</f>
        <v>0</v>
      </c>
      <c r="J9" s="44">
        <f>F9+G9-H9+I9</f>
        <v>1050000000</v>
      </c>
      <c r="K9" s="44">
        <f>SUM(K10)</f>
        <v>24782791.666666664</v>
      </c>
      <c r="L9" s="46">
        <f>SUM(L10)</f>
        <v>0</v>
      </c>
    </row>
    <row r="10" spans="1:23" s="75" customFormat="1" x14ac:dyDescent="0.25">
      <c r="B10" s="73"/>
      <c r="C10" s="16"/>
      <c r="D10" s="47"/>
      <c r="E10" s="74" t="s">
        <v>61</v>
      </c>
      <c r="F10" s="44">
        <f>SUM(F11:F11)</f>
        <v>1500000000</v>
      </c>
      <c r="G10" s="44">
        <f t="shared" ref="G10" si="2">SUM(G11:G11)</f>
        <v>0</v>
      </c>
      <c r="H10" s="44">
        <f>SUM(H11:H11)</f>
        <v>450000000</v>
      </c>
      <c r="I10" s="44">
        <f t="shared" ref="I10" si="3">SUM(I11:I11)</f>
        <v>0</v>
      </c>
      <c r="J10" s="44">
        <f t="shared" ref="J10:J11" si="4">+F10+G10-H10+I10</f>
        <v>1050000000</v>
      </c>
      <c r="K10" s="44">
        <f>SUM(K11:K11)</f>
        <v>24782791.666666664</v>
      </c>
      <c r="L10" s="46">
        <f t="shared" ref="L10" si="5">SUM(L11:L11)</f>
        <v>0</v>
      </c>
      <c r="Q10" s="44">
        <f>SUM(Q11:Q11)</f>
        <v>0</v>
      </c>
      <c r="R10" s="44">
        <f t="shared" ref="R10" si="6">SUM(R11:R11)</f>
        <v>0</v>
      </c>
      <c r="S10" s="44">
        <f>SUM(S11:S11)</f>
        <v>0</v>
      </c>
      <c r="T10" s="44">
        <f t="shared" ref="T10" si="7">SUM(T11:T11)</f>
        <v>0</v>
      </c>
      <c r="U10" s="44">
        <f t="shared" ref="U10" si="8">+Q10+R10-S10+T10</f>
        <v>0</v>
      </c>
      <c r="V10" s="44">
        <f>SUM(V11:V11)</f>
        <v>0</v>
      </c>
      <c r="W10" s="46">
        <f t="shared" ref="W10" si="9">SUM(W11:W11)</f>
        <v>0</v>
      </c>
    </row>
    <row r="11" spans="1:23" s="75" customFormat="1" ht="15" hidden="1" customHeight="1" outlineLevel="1" x14ac:dyDescent="0.25">
      <c r="B11" s="73"/>
      <c r="C11" s="16"/>
      <c r="D11" s="47"/>
      <c r="E11" s="74"/>
      <c r="F11" s="44">
        <f>'2017 Trimestre 1-Formato 2'!F11</f>
        <v>1500000000</v>
      </c>
      <c r="G11" s="44">
        <v>0</v>
      </c>
      <c r="H11" s="44">
        <f>'2017 Trimestre 1-Formato 2'!H11</f>
        <v>450000000</v>
      </c>
      <c r="I11" s="44">
        <v>0</v>
      </c>
      <c r="J11" s="44">
        <f t="shared" si="4"/>
        <v>1050000000</v>
      </c>
      <c r="K11" s="44">
        <f>'2017 Trimestre 1-Formato 2'!K11</f>
        <v>24782791.666666664</v>
      </c>
      <c r="L11" s="46">
        <f>'2017 Trimestre 1-Formato 2'!L11</f>
        <v>0</v>
      </c>
    </row>
    <row r="12" spans="1:23" s="75" customFormat="1" collapsed="1" x14ac:dyDescent="0.25">
      <c r="B12" s="73"/>
      <c r="C12" s="16"/>
      <c r="D12" s="16" t="s">
        <v>54</v>
      </c>
      <c r="E12" s="47"/>
      <c r="F12" s="76">
        <f>SUM(F13)</f>
        <v>0</v>
      </c>
      <c r="G12" s="44">
        <f t="shared" ref="G12:L12" si="10">SUM(G13)</f>
        <v>0</v>
      </c>
      <c r="H12" s="44">
        <f t="shared" si="10"/>
        <v>0</v>
      </c>
      <c r="I12" s="44">
        <f t="shared" si="10"/>
        <v>0</v>
      </c>
      <c r="J12" s="44">
        <f>SUM(J13)</f>
        <v>0</v>
      </c>
      <c r="K12" s="44">
        <f t="shared" si="10"/>
        <v>0</v>
      </c>
      <c r="L12" s="46">
        <f t="shared" si="10"/>
        <v>0</v>
      </c>
    </row>
    <row r="13" spans="1:23" s="75" customFormat="1" hidden="1" outlineLevel="1" x14ac:dyDescent="0.25">
      <c r="B13" s="73"/>
      <c r="C13" s="16"/>
      <c r="D13" s="16"/>
      <c r="E13" s="47"/>
      <c r="F13" s="76"/>
      <c r="G13" s="44"/>
      <c r="H13" s="44"/>
      <c r="I13" s="44"/>
      <c r="J13" s="44"/>
      <c r="K13" s="44"/>
      <c r="L13" s="46"/>
    </row>
    <row r="14" spans="1:23" s="75" customFormat="1" collapsed="1" x14ac:dyDescent="0.25">
      <c r="B14" s="100"/>
      <c r="C14" s="16"/>
      <c r="D14" s="16" t="s">
        <v>7</v>
      </c>
      <c r="E14" s="47"/>
      <c r="F14" s="76">
        <f>SUM(F15)</f>
        <v>0</v>
      </c>
      <c r="G14" s="44">
        <f t="shared" ref="G14" si="11">SUM(G15)</f>
        <v>0</v>
      </c>
      <c r="H14" s="44">
        <f t="shared" ref="H14" si="12">SUM(H15)</f>
        <v>0</v>
      </c>
      <c r="I14" s="44">
        <f t="shared" ref="I14" si="13">SUM(I15)</f>
        <v>0</v>
      </c>
      <c r="J14" s="44">
        <f t="shared" ref="J14" si="14">SUM(J15)</f>
        <v>0</v>
      </c>
      <c r="K14" s="44">
        <f t="shared" ref="K14" si="15">SUM(K15)</f>
        <v>0</v>
      </c>
      <c r="L14" s="46">
        <f t="shared" ref="L14" si="16">SUM(L15)</f>
        <v>0</v>
      </c>
    </row>
    <row r="15" spans="1:23" s="75" customFormat="1" ht="14.45" hidden="1" outlineLevel="1" x14ac:dyDescent="0.3">
      <c r="B15" s="100"/>
      <c r="C15" s="16"/>
      <c r="D15" s="16"/>
      <c r="E15" s="47"/>
      <c r="F15" s="76"/>
      <c r="G15" s="44"/>
      <c r="H15" s="44"/>
      <c r="I15" s="44"/>
      <c r="J15" s="44"/>
      <c r="K15" s="44"/>
      <c r="L15" s="46"/>
    </row>
    <row r="16" spans="1:23" s="75" customFormat="1" collapsed="1" x14ac:dyDescent="0.25">
      <c r="B16" s="102"/>
      <c r="C16" s="97" t="s">
        <v>8</v>
      </c>
      <c r="D16" s="97"/>
      <c r="E16" s="97"/>
      <c r="F16" s="103">
        <f t="shared" ref="F16:L16" si="17">SUM(F17,F30,F35)</f>
        <v>20509681095.720001</v>
      </c>
      <c r="G16" s="103">
        <f t="shared" si="17"/>
        <v>0</v>
      </c>
      <c r="H16" s="103">
        <f>SUM(H17,H30,H35)</f>
        <v>62187328.470000006</v>
      </c>
      <c r="I16" s="103">
        <f t="shared" si="17"/>
        <v>0</v>
      </c>
      <c r="J16" s="103">
        <f>SUM(J17,J30,J35)</f>
        <v>20447493767.25</v>
      </c>
      <c r="K16" s="103">
        <f t="shared" si="17"/>
        <v>413853734.26957047</v>
      </c>
      <c r="L16" s="104">
        <f t="shared" si="17"/>
        <v>0</v>
      </c>
    </row>
    <row r="17" spans="2:12" s="75" customFormat="1" x14ac:dyDescent="0.25">
      <c r="B17" s="100"/>
      <c r="C17" s="105"/>
      <c r="D17" s="16" t="s">
        <v>55</v>
      </c>
      <c r="E17" s="47"/>
      <c r="F17" s="44">
        <f>SUM(F18:F29)</f>
        <v>20509681095.720001</v>
      </c>
      <c r="G17" s="44">
        <f>SUM(G18:G29)</f>
        <v>0</v>
      </c>
      <c r="H17" s="44">
        <f>SUM(H18:H29)</f>
        <v>62187328.470000006</v>
      </c>
      <c r="I17" s="44">
        <f t="shared" ref="I17:L17" si="18">SUM(I18:I25)</f>
        <v>0</v>
      </c>
      <c r="J17" s="44">
        <f>+F17+G17-H17+I17</f>
        <v>20447493767.25</v>
      </c>
      <c r="K17" s="44">
        <f>SUM(K18:K29)</f>
        <v>413853734.26957047</v>
      </c>
      <c r="L17" s="46">
        <f t="shared" si="18"/>
        <v>0</v>
      </c>
    </row>
    <row r="18" spans="2:12" s="75" customFormat="1" x14ac:dyDescent="0.25">
      <c r="B18" s="100"/>
      <c r="C18" s="105"/>
      <c r="D18" s="105"/>
      <c r="E18" s="60" t="str">
        <f>'2017 Trimestre 1-Formato 2'!E19</f>
        <v>INTERACCIONES</v>
      </c>
      <c r="F18" s="44">
        <f>'2017 Trimestre 1-Formato 2'!F19</f>
        <v>4369921994.1000004</v>
      </c>
      <c r="G18" s="44">
        <v>0</v>
      </c>
      <c r="H18" s="44">
        <f>'2017 Trimestre 1-Formato 2'!H19</f>
        <v>13527404.720000001</v>
      </c>
      <c r="I18" s="44"/>
      <c r="J18" s="44">
        <f t="shared" ref="J18:J36" si="19">+F18+G18-H18+I18</f>
        <v>4356394589.3800001</v>
      </c>
      <c r="K18" s="44">
        <f>'2017 Trimestre 1-Formato 2'!K19</f>
        <v>89110229.097194329</v>
      </c>
      <c r="L18" s="46">
        <v>0</v>
      </c>
    </row>
    <row r="19" spans="2:12" s="75" customFormat="1" x14ac:dyDescent="0.25">
      <c r="B19" s="100"/>
      <c r="C19" s="105"/>
      <c r="D19" s="105"/>
      <c r="E19" s="60" t="str">
        <f>'2017 Trimestre 1-Formato 2'!E20</f>
        <v>MULTIVA</v>
      </c>
      <c r="F19" s="44">
        <f>'2017 Trimestre 1-Formato 2'!F20</f>
        <v>1333723159.5600002</v>
      </c>
      <c r="G19" s="44">
        <v>0</v>
      </c>
      <c r="H19" s="44">
        <f>'2017 Trimestre 1-Formato 2'!H20</f>
        <v>6892430.7199999988</v>
      </c>
      <c r="I19" s="44"/>
      <c r="J19" s="44">
        <f t="shared" si="19"/>
        <v>1326830728.8400002</v>
      </c>
      <c r="K19" s="44">
        <f>'2017 Trimestre 1-Formato 2'!K20</f>
        <v>27836583.084108889</v>
      </c>
      <c r="L19" s="46">
        <v>0</v>
      </c>
    </row>
    <row r="20" spans="2:12" s="75" customFormat="1" x14ac:dyDescent="0.25">
      <c r="B20" s="100"/>
      <c r="C20" s="105"/>
      <c r="D20" s="105"/>
      <c r="E20" s="60" t="str">
        <f>'2017 Trimestre 1-Formato 2'!E21</f>
        <v>BBVA BANCOMER 1716</v>
      </c>
      <c r="F20" s="44">
        <f>'2017 Trimestre 1-Formato 2'!F21</f>
        <v>1666508115.05</v>
      </c>
      <c r="G20" s="44">
        <v>0</v>
      </c>
      <c r="H20" s="44">
        <f>'2017 Trimestre 1-Formato 2'!H21</f>
        <v>5158794.54</v>
      </c>
      <c r="I20" s="44"/>
      <c r="J20" s="44">
        <f t="shared" si="19"/>
        <v>1661349320.51</v>
      </c>
      <c r="K20" s="44">
        <f>'2017 Trimestre 1-Formato 2'!K21</f>
        <v>32510046.189169765</v>
      </c>
      <c r="L20" s="46">
        <v>0</v>
      </c>
    </row>
    <row r="21" spans="2:12" s="75" customFormat="1" x14ac:dyDescent="0.25">
      <c r="B21" s="100"/>
      <c r="C21" s="105"/>
      <c r="D21" s="105"/>
      <c r="E21" s="60" t="str">
        <f>'2017 Trimestre 1-Formato 2'!E22</f>
        <v>BBVA BANCOMER 2028</v>
      </c>
      <c r="F21" s="44">
        <f>'2017 Trimestre 1-Formato 2'!F22</f>
        <v>1969846990.9100001</v>
      </c>
      <c r="G21" s="44">
        <v>0</v>
      </c>
      <c r="H21" s="44">
        <f>'2017 Trimestre 1-Formato 2'!H22</f>
        <v>6097801.6300000008</v>
      </c>
      <c r="I21" s="44"/>
      <c r="J21" s="44">
        <f t="shared" si="19"/>
        <v>1963749189.28</v>
      </c>
      <c r="K21" s="44">
        <f>'2017 Trimestre 1-Formato 2'!K22</f>
        <v>38427545.645723283</v>
      </c>
      <c r="L21" s="46">
        <v>0</v>
      </c>
    </row>
    <row r="22" spans="2:12" s="75" customFormat="1" x14ac:dyDescent="0.25">
      <c r="B22" s="100"/>
      <c r="C22" s="105"/>
      <c r="D22" s="105"/>
      <c r="E22" s="60" t="str">
        <f>'2017 Trimestre 1-Formato 2'!E23</f>
        <v>BBVA BANCOMER 1380</v>
      </c>
      <c r="F22" s="44">
        <f>'2017 Trimestre 1-Formato 2'!F23</f>
        <v>1340109411.5099995</v>
      </c>
      <c r="G22" s="44">
        <v>0</v>
      </c>
      <c r="H22" s="44">
        <f>'2017 Trimestre 1-Formato 2'!H23</f>
        <v>4148404.1099999994</v>
      </c>
      <c r="I22" s="44"/>
      <c r="J22" s="44">
        <f t="shared" si="19"/>
        <v>1335961007.3999996</v>
      </c>
      <c r="K22" s="44">
        <f>'2017 Trimestre 1-Formato 2'!K23</f>
        <v>26142698.300259475</v>
      </c>
      <c r="L22" s="46">
        <v>0</v>
      </c>
    </row>
    <row r="23" spans="2:12" s="75" customFormat="1" x14ac:dyDescent="0.25">
      <c r="B23" s="100"/>
      <c r="C23" s="105"/>
      <c r="D23" s="105"/>
      <c r="E23" s="60" t="str">
        <f>'2017 Trimestre 1-Formato 2'!E24</f>
        <v>BANORTE</v>
      </c>
      <c r="F23" s="44">
        <f>'2017 Trimestre 1-Formato 2'!F24</f>
        <v>1959267463.0900002</v>
      </c>
      <c r="G23" s="44">
        <v>0</v>
      </c>
      <c r="H23" s="44">
        <f>'2017 Trimestre 1-Formato 2'!H24</f>
        <v>5136447.03</v>
      </c>
      <c r="I23" s="44"/>
      <c r="J23" s="44">
        <f t="shared" si="19"/>
        <v>1954131016.0600002</v>
      </c>
      <c r="K23" s="44">
        <f>'2017 Trimestre 1-Formato 2'!K24</f>
        <v>37732302.069012478</v>
      </c>
      <c r="L23" s="46">
        <v>0</v>
      </c>
    </row>
    <row r="24" spans="2:12" s="75" customFormat="1" x14ac:dyDescent="0.25">
      <c r="B24" s="100"/>
      <c r="C24" s="105"/>
      <c r="D24" s="105"/>
      <c r="E24" s="60" t="str">
        <f>'2017 Trimestre 1-Formato 2'!E25</f>
        <v>SANTANDER</v>
      </c>
      <c r="F24" s="44">
        <f>'2017 Trimestre 1-Formato 2'!F25</f>
        <v>982018201.31999981</v>
      </c>
      <c r="G24" s="44">
        <v>0</v>
      </c>
      <c r="H24" s="44">
        <f>'2017 Trimestre 1-Formato 2'!H25</f>
        <v>2574474.6799999997</v>
      </c>
      <c r="I24" s="44"/>
      <c r="J24" s="44">
        <f t="shared" si="19"/>
        <v>979443726.63999987</v>
      </c>
      <c r="K24" s="44">
        <f>'2017 Trimestre 1-Formato 2'!K25</f>
        <v>17671961.53269349</v>
      </c>
      <c r="L24" s="46">
        <v>0</v>
      </c>
    </row>
    <row r="25" spans="2:12" s="75" customFormat="1" x14ac:dyDescent="0.25">
      <c r="B25" s="100"/>
      <c r="C25" s="105"/>
      <c r="D25" s="105"/>
      <c r="E25" s="60" t="str">
        <f>'2017 Trimestre 1-Formato 2'!E26</f>
        <v>BANORTE</v>
      </c>
      <c r="F25" s="44">
        <f>'2017 Trimestre 1-Formato 2'!F26</f>
        <v>1308887423.49</v>
      </c>
      <c r="G25" s="44">
        <v>0</v>
      </c>
      <c r="H25" s="44">
        <f>'2017 Trimestre 1-Formato 2'!H26</f>
        <v>2910985.2800000003</v>
      </c>
      <c r="I25" s="44"/>
      <c r="J25" s="44">
        <f t="shared" si="19"/>
        <v>1305976438.21</v>
      </c>
      <c r="K25" s="44">
        <f>'2017 Trimestre 1-Formato 2'!K26</f>
        <v>24549110.449921265</v>
      </c>
      <c r="L25" s="46">
        <v>0</v>
      </c>
    </row>
    <row r="26" spans="2:12" s="75" customFormat="1" x14ac:dyDescent="0.25">
      <c r="B26" s="100"/>
      <c r="C26" s="105"/>
      <c r="D26" s="105"/>
      <c r="E26" s="60"/>
      <c r="F26" s="44"/>
      <c r="G26" s="44"/>
      <c r="H26" s="44"/>
      <c r="I26" s="44"/>
      <c r="J26" s="44"/>
      <c r="K26" s="44"/>
      <c r="L26" s="46"/>
    </row>
    <row r="27" spans="2:12" s="75" customFormat="1" ht="14.45" x14ac:dyDescent="0.3">
      <c r="B27" s="100"/>
      <c r="C27" s="105"/>
      <c r="D27" s="105"/>
      <c r="E27" s="60" t="str">
        <f>'2017 Trimestre 1-Formato 2'!E28</f>
        <v>INBURSA 5000</v>
      </c>
      <c r="F27" s="44">
        <f>'2017 Trimestre 1-Formato 2'!F28</f>
        <v>4607232647.1300001</v>
      </c>
      <c r="G27" s="44">
        <v>0</v>
      </c>
      <c r="H27" s="44">
        <f>'2017 Trimestre 1-Formato 2'!H28</f>
        <v>12997914.16</v>
      </c>
      <c r="I27" s="44"/>
      <c r="J27" s="44">
        <f t="shared" si="19"/>
        <v>4594234732.9700003</v>
      </c>
      <c r="K27" s="44">
        <f>'2017 Trimestre 1-Formato 2'!K28</f>
        <v>98986298.162185878</v>
      </c>
      <c r="L27" s="46">
        <v>0</v>
      </c>
    </row>
    <row r="28" spans="2:12" s="75" customFormat="1" ht="14.45" x14ac:dyDescent="0.3">
      <c r="B28" s="100"/>
      <c r="C28" s="105"/>
      <c r="D28" s="105"/>
      <c r="E28" s="60" t="str">
        <f>'2017 Trimestre 1-Formato 2'!E29</f>
        <v>INBURSA 1160</v>
      </c>
      <c r="F28" s="44">
        <f>'2017 Trimestre 1-Formato 2'!F29</f>
        <v>972165689.55999982</v>
      </c>
      <c r="G28" s="44">
        <v>0</v>
      </c>
      <c r="H28" s="44">
        <f>'2017 Trimestre 1-Formato 2'!H29</f>
        <v>2742671.5999999996</v>
      </c>
      <c r="I28" s="44"/>
      <c r="J28" s="44">
        <f t="shared" si="19"/>
        <v>969423017.9599998</v>
      </c>
      <c r="K28" s="44">
        <f>'2017 Trimestre 1-Formato 2'!K29</f>
        <v>20886959.739301678</v>
      </c>
      <c r="L28" s="46">
        <v>0</v>
      </c>
    </row>
    <row r="29" spans="2:12" s="75" customFormat="1" ht="14.45" x14ac:dyDescent="0.3">
      <c r="B29" s="100"/>
      <c r="C29" s="105"/>
      <c r="D29" s="105"/>
      <c r="E29" s="16"/>
      <c r="F29" s="44"/>
      <c r="G29" s="44"/>
      <c r="H29" s="44"/>
      <c r="I29" s="44"/>
      <c r="J29" s="44"/>
      <c r="K29" s="44"/>
      <c r="L29" s="46"/>
    </row>
    <row r="30" spans="2:12" s="75" customFormat="1" x14ac:dyDescent="0.25">
      <c r="B30" s="100"/>
      <c r="C30" s="16"/>
      <c r="D30" s="16" t="s">
        <v>56</v>
      </c>
      <c r="E30" s="47"/>
      <c r="F30" s="44">
        <f>SUM(F31)</f>
        <v>0</v>
      </c>
      <c r="G30" s="44">
        <f t="shared" ref="G30:L30" si="20">SUM(G31)</f>
        <v>0</v>
      </c>
      <c r="H30" s="44">
        <f t="shared" si="20"/>
        <v>0</v>
      </c>
      <c r="I30" s="44">
        <f t="shared" si="20"/>
        <v>0</v>
      </c>
      <c r="J30" s="44">
        <f>+F30+G30-H30+I30</f>
        <v>0</v>
      </c>
      <c r="K30" s="44">
        <f t="shared" si="20"/>
        <v>0</v>
      </c>
      <c r="L30" s="46">
        <f t="shared" si="20"/>
        <v>0</v>
      </c>
    </row>
    <row r="31" spans="2:12" s="75" customFormat="1" ht="14.45" hidden="1" outlineLevel="1" x14ac:dyDescent="0.3">
      <c r="B31" s="100"/>
      <c r="C31" s="16"/>
      <c r="D31" s="16"/>
      <c r="E31" s="47"/>
      <c r="F31" s="44"/>
      <c r="G31" s="44"/>
      <c r="H31" s="44"/>
      <c r="I31" s="44"/>
      <c r="J31" s="44">
        <f t="shared" si="19"/>
        <v>0</v>
      </c>
      <c r="K31" s="44"/>
      <c r="L31" s="46"/>
    </row>
    <row r="32" spans="2:12" s="75" customFormat="1" ht="14.45" hidden="1" outlineLevel="1" x14ac:dyDescent="0.3">
      <c r="B32" s="100"/>
      <c r="C32" s="16"/>
      <c r="D32" s="16"/>
      <c r="E32" s="47"/>
      <c r="F32" s="44"/>
      <c r="G32" s="44"/>
      <c r="H32" s="44"/>
      <c r="I32" s="44"/>
      <c r="J32" s="44">
        <f t="shared" si="19"/>
        <v>0</v>
      </c>
      <c r="K32" s="44"/>
      <c r="L32" s="46"/>
    </row>
    <row r="33" spans="2:13" s="75" customFormat="1" ht="14.45" hidden="1" outlineLevel="1" x14ac:dyDescent="0.3">
      <c r="B33" s="100"/>
      <c r="C33" s="16"/>
      <c r="D33" s="16"/>
      <c r="E33" s="47"/>
      <c r="F33" s="44"/>
      <c r="G33" s="44"/>
      <c r="H33" s="44"/>
      <c r="I33" s="44"/>
      <c r="J33" s="44">
        <f t="shared" si="19"/>
        <v>0</v>
      </c>
      <c r="K33" s="44"/>
      <c r="L33" s="46"/>
    </row>
    <row r="34" spans="2:13" s="75" customFormat="1" ht="14.45" hidden="1" outlineLevel="1" x14ac:dyDescent="0.3">
      <c r="B34" s="100"/>
      <c r="C34" s="16"/>
      <c r="D34" s="16"/>
      <c r="E34" s="47"/>
      <c r="F34" s="44"/>
      <c r="G34" s="44"/>
      <c r="H34" s="44"/>
      <c r="I34" s="44"/>
      <c r="J34" s="44">
        <f t="shared" si="19"/>
        <v>0</v>
      </c>
      <c r="K34" s="44"/>
      <c r="L34" s="46"/>
    </row>
    <row r="35" spans="2:13" s="75" customFormat="1" ht="14.45" collapsed="1" x14ac:dyDescent="0.3">
      <c r="B35" s="100"/>
      <c r="C35" s="16"/>
      <c r="D35" s="16" t="s">
        <v>17</v>
      </c>
      <c r="E35" s="47"/>
      <c r="F35" s="44">
        <f>SUM(F36)</f>
        <v>0</v>
      </c>
      <c r="G35" s="44">
        <f t="shared" ref="G35" si="21">SUM(G36)</f>
        <v>0</v>
      </c>
      <c r="H35" s="44">
        <f t="shared" ref="H35" si="22">SUM(H36)</f>
        <v>0</v>
      </c>
      <c r="I35" s="44">
        <f t="shared" ref="I35" si="23">SUM(I36)</f>
        <v>0</v>
      </c>
      <c r="J35" s="44">
        <f>+F35+G35-H35+I35</f>
        <v>0</v>
      </c>
      <c r="K35" s="44">
        <f t="shared" ref="K35" si="24">SUM(K36)</f>
        <v>0</v>
      </c>
      <c r="L35" s="46">
        <f t="shared" ref="L35" si="25">SUM(L36)</f>
        <v>0</v>
      </c>
    </row>
    <row r="36" spans="2:13" s="75" customFormat="1" ht="14.45" x14ac:dyDescent="0.3">
      <c r="B36" s="100"/>
      <c r="C36" s="16"/>
      <c r="D36" s="16"/>
      <c r="E36" s="47"/>
      <c r="F36" s="44"/>
      <c r="G36" s="44"/>
      <c r="H36" s="44"/>
      <c r="I36" s="44"/>
      <c r="J36" s="44">
        <f t="shared" si="19"/>
        <v>0</v>
      </c>
      <c r="K36" s="44"/>
      <c r="L36" s="46"/>
    </row>
    <row r="37" spans="2:13" s="75" customFormat="1" ht="14.45" x14ac:dyDescent="0.3">
      <c r="B37" s="106" t="s">
        <v>18</v>
      </c>
      <c r="C37" s="107"/>
      <c r="D37" s="107"/>
      <c r="E37" s="107"/>
      <c r="F37" s="108"/>
      <c r="G37" s="108"/>
      <c r="H37" s="108"/>
      <c r="I37" s="108"/>
      <c r="J37" s="108"/>
      <c r="K37" s="108"/>
      <c r="L37" s="109"/>
    </row>
    <row r="38" spans="2:13" s="75" customFormat="1" x14ac:dyDescent="0.25">
      <c r="B38" s="106" t="s">
        <v>19</v>
      </c>
      <c r="C38" s="107"/>
      <c r="D38" s="107"/>
      <c r="E38" s="107"/>
      <c r="F38" s="149">
        <f t="shared" ref="F38:L38" si="26">F7+F37</f>
        <v>22009681095.720001</v>
      </c>
      <c r="G38" s="149">
        <f t="shared" si="26"/>
        <v>0</v>
      </c>
      <c r="H38" s="149">
        <f t="shared" si="26"/>
        <v>512187328.47000003</v>
      </c>
      <c r="I38" s="149">
        <f t="shared" si="26"/>
        <v>0</v>
      </c>
      <c r="J38" s="149">
        <f t="shared" si="26"/>
        <v>21497493767.25</v>
      </c>
      <c r="K38" s="149">
        <f t="shared" si="26"/>
        <v>438636525.93623716</v>
      </c>
      <c r="L38" s="149">
        <f t="shared" si="26"/>
        <v>0</v>
      </c>
    </row>
    <row r="39" spans="2:13" s="75" customFormat="1" ht="14.45" x14ac:dyDescent="0.3">
      <c r="B39" s="92" t="s">
        <v>20</v>
      </c>
      <c r="C39" s="93"/>
      <c r="D39" s="93"/>
      <c r="E39" s="93"/>
      <c r="F39" s="94"/>
      <c r="G39" s="94"/>
      <c r="H39" s="94"/>
      <c r="I39" s="94"/>
      <c r="J39" s="94"/>
      <c r="K39" s="94"/>
      <c r="L39" s="95"/>
    </row>
    <row r="40" spans="2:13" s="75" customFormat="1" x14ac:dyDescent="0.25">
      <c r="B40" s="100"/>
      <c r="C40" s="110" t="s">
        <v>141</v>
      </c>
      <c r="D40" s="111" t="s">
        <v>65</v>
      </c>
      <c r="E40" s="62" t="str">
        <f>'2017 Trimestre 1-Formato 2'!E41</f>
        <v>HSBC</v>
      </c>
      <c r="F40" s="44">
        <f>'2017 Trimestre 1-Formato 2'!F41</f>
        <v>285426615.46000105</v>
      </c>
      <c r="G40" s="44">
        <v>0</v>
      </c>
      <c r="H40" s="44">
        <f>'2017 Trimestre 1-Formato 2'!H41</f>
        <v>8002615.3799999999</v>
      </c>
      <c r="I40" s="44">
        <v>0</v>
      </c>
      <c r="J40" s="44">
        <f>'2017 Trimestre 1-Formato 2'!J41</f>
        <v>277424000.08000106</v>
      </c>
      <c r="K40" s="44">
        <f>'2017 Trimestre 1-Formato 2'!K41</f>
        <v>5779907.8581743306</v>
      </c>
      <c r="L40" s="46"/>
    </row>
    <row r="41" spans="2:13" s="75" customFormat="1" x14ac:dyDescent="0.25">
      <c r="B41" s="100"/>
      <c r="C41" s="110" t="s">
        <v>141</v>
      </c>
      <c r="D41" s="111" t="s">
        <v>64</v>
      </c>
      <c r="E41" s="62" t="s">
        <v>63</v>
      </c>
      <c r="F41" s="44">
        <f>'2017 Trimestre 1-Formato 2'!F42</f>
        <v>288094154</v>
      </c>
      <c r="G41" s="44">
        <v>0</v>
      </c>
      <c r="H41" s="44">
        <f>'2017 Trimestre 1-Formato 2'!H42</f>
        <v>8002615.3799999999</v>
      </c>
      <c r="I41" s="44">
        <v>0</v>
      </c>
      <c r="J41" s="44">
        <f>'2017 Trimestre 1-Formato 2'!J42</f>
        <v>280091538.62</v>
      </c>
      <c r="K41" s="44">
        <f>'2017 Trimestre 1-Formato 2'!K42</f>
        <v>5973646.1009572735</v>
      </c>
      <c r="L41" s="46"/>
    </row>
    <row r="42" spans="2:13" s="75" customFormat="1" x14ac:dyDescent="0.25">
      <c r="B42" s="100"/>
      <c r="C42" s="110" t="s">
        <v>142</v>
      </c>
      <c r="D42" s="111" t="s">
        <v>66</v>
      </c>
      <c r="E42" s="60" t="str">
        <f>'2017 Trimestre 1-Formato 2'!E43</f>
        <v>INBURSA</v>
      </c>
      <c r="F42" s="44">
        <f>'2017 Trimestre 1-Formato 2'!F43</f>
        <v>5988036324</v>
      </c>
      <c r="G42" s="44"/>
      <c r="H42" s="44">
        <f>'2017 Trimestre 1-Formato 2'!H43</f>
        <v>1000000</v>
      </c>
      <c r="I42" s="44">
        <v>0</v>
      </c>
      <c r="J42" s="44">
        <f>'2017 Trimestre 1-Formato 2'!J43</f>
        <v>5987036323.5</v>
      </c>
      <c r="K42" s="44">
        <f>'2017 Trimestre 1-Formato 2'!K43</f>
        <v>249531836.22977149</v>
      </c>
      <c r="L42" s="46"/>
    </row>
    <row r="43" spans="2:13" s="75" customFormat="1" x14ac:dyDescent="0.25">
      <c r="B43" s="100"/>
      <c r="C43" s="112">
        <v>80634</v>
      </c>
      <c r="D43" s="111" t="s">
        <v>67</v>
      </c>
      <c r="E43" s="60" t="str">
        <f>'2017 Trimestre 1-Formato 2'!E44</f>
        <v>Emision Bursatil ISN</v>
      </c>
      <c r="F43" s="44">
        <f>'2017 Trimestre 1-Formato 2'!F44</f>
        <v>2480249999</v>
      </c>
      <c r="G43" s="44">
        <v>0</v>
      </c>
      <c r="H43" s="44">
        <f>'2017 Trimestre 1-Formato 2'!H44</f>
        <v>39600000</v>
      </c>
      <c r="I43" s="44">
        <v>0</v>
      </c>
      <c r="J43" s="44">
        <f>'2017 Trimestre 1-Formato 2'!J44</f>
        <v>2440649999</v>
      </c>
      <c r="K43" s="44">
        <f>'2017 Trimestre 1-Formato 2'!K44</f>
        <v>47620800.000799999</v>
      </c>
      <c r="L43" s="46"/>
    </row>
    <row r="44" spans="2:13" s="75" customFormat="1" ht="14.45" x14ac:dyDescent="0.3">
      <c r="B44" s="100"/>
      <c r="C44" s="110" t="s">
        <v>142</v>
      </c>
      <c r="D44" s="111" t="s">
        <v>72</v>
      </c>
      <c r="E44" s="60" t="str">
        <f>'2017 Trimestre 1-Formato 2'!E45</f>
        <v>Emision Bursatil PEAJE</v>
      </c>
      <c r="F44" s="44">
        <f>'2017 Trimestre 1-Formato 2'!F45</f>
        <v>15419238207</v>
      </c>
      <c r="G44" s="44">
        <v>0</v>
      </c>
      <c r="H44" s="44">
        <f>'2017 Trimestre 1-Formato 2'!H45</f>
        <v>-452492800.46678352</v>
      </c>
      <c r="I44" s="44"/>
      <c r="J44" s="44">
        <f>'2017 Trimestre 1-Formato 2'!J45</f>
        <v>15871731007.466784</v>
      </c>
      <c r="K44" s="44">
        <f>'2017 Trimestre 1-Formato 2'!K45</f>
        <v>511362813.82230222</v>
      </c>
      <c r="L44" s="46"/>
    </row>
    <row r="45" spans="2:13" s="75" customFormat="1" ht="14.45" x14ac:dyDescent="0.3">
      <c r="B45" s="100"/>
      <c r="J45" s="113"/>
      <c r="L45" s="114"/>
    </row>
    <row r="46" spans="2:13" s="115" customFormat="1" x14ac:dyDescent="0.25">
      <c r="B46" s="92" t="s">
        <v>21</v>
      </c>
      <c r="C46" s="93"/>
      <c r="D46" s="93"/>
      <c r="E46" s="93"/>
      <c r="F46" s="94"/>
      <c r="G46" s="94"/>
      <c r="H46" s="94"/>
      <c r="I46" s="94"/>
      <c r="J46" s="94"/>
      <c r="K46" s="94"/>
      <c r="L46" s="95"/>
      <c r="M46" s="75"/>
    </row>
    <row r="47" spans="2:13" s="75" customFormat="1" x14ac:dyDescent="0.25">
      <c r="B47" s="73"/>
      <c r="C47" s="16"/>
      <c r="D47" s="111" t="s">
        <v>65</v>
      </c>
      <c r="E47" s="62" t="str">
        <f>'2017 Trimestre 1-Formato 2'!E48</f>
        <v>BANOBRAS</v>
      </c>
      <c r="F47" s="44">
        <f>'2017 Trimestre 1-Formato 2'!F48</f>
        <v>982226000</v>
      </c>
      <c r="G47" s="44">
        <v>0</v>
      </c>
      <c r="H47" s="44">
        <v>0</v>
      </c>
      <c r="I47" s="48">
        <f>IF(F47&gt;J47,(F47-J47)*-1,(F47-J47)*-1)</f>
        <v>-43962800</v>
      </c>
      <c r="J47" s="44">
        <f>'2017 Trimestre 1-Formato 2'!J48</f>
        <v>938263200</v>
      </c>
      <c r="K47" s="44">
        <f>'2017 Trimestre 1-Formato 2'!K48</f>
        <v>33407392.096131995</v>
      </c>
      <c r="L47" s="174">
        <f>SUM('2017 Trimestre 1-Formato 2'!L48:L51)</f>
        <v>24405.239999999998</v>
      </c>
    </row>
    <row r="48" spans="2:13" s="75" customFormat="1" x14ac:dyDescent="0.25">
      <c r="B48" s="73"/>
      <c r="C48" s="16"/>
      <c r="D48" s="111" t="s">
        <v>64</v>
      </c>
      <c r="E48" s="60" t="str">
        <f>'2017 Trimestre 1-Formato 2'!E49</f>
        <v xml:space="preserve">BANOBRAS </v>
      </c>
      <c r="F48" s="44">
        <f>'2017 Trimestre 1-Formato 2'!F49</f>
        <v>852510000</v>
      </c>
      <c r="G48" s="44">
        <v>0</v>
      </c>
      <c r="H48" s="44">
        <v>0</v>
      </c>
      <c r="I48" s="48">
        <f>IF(F48&gt;J48,(F48-J48)*-1,(F48-J48)*-1)</f>
        <v>-37255200</v>
      </c>
      <c r="J48" s="44">
        <f>'2017 Trimestre 1-Formato 2'!J49</f>
        <v>815254800</v>
      </c>
      <c r="K48" s="44">
        <f>'2017 Trimestre 1-Formato 2'!K49</f>
        <v>27090000</v>
      </c>
      <c r="L48" s="164"/>
    </row>
    <row r="49" spans="1:12" s="75" customFormat="1" x14ac:dyDescent="0.25">
      <c r="B49" s="73"/>
      <c r="C49" s="16"/>
      <c r="D49" s="111" t="s">
        <v>66</v>
      </c>
      <c r="E49" s="60" t="str">
        <f>'2017 Trimestre 1-Formato 2'!E50</f>
        <v>BANOBRAS</v>
      </c>
      <c r="F49" s="44">
        <f>'2017 Trimestre 1-Formato 2'!F50</f>
        <v>742359060</v>
      </c>
      <c r="G49" s="44">
        <v>0</v>
      </c>
      <c r="H49" s="44">
        <v>0</v>
      </c>
      <c r="I49" s="48">
        <f>IF(F49&gt;J49,(F49-J49)*-1,(F49-J49)*-1)</f>
        <v>-30786660</v>
      </c>
      <c r="J49" s="44">
        <f>'2017 Trimestre 1-Formato 2'!J50</f>
        <v>711572400</v>
      </c>
      <c r="K49" s="44">
        <f>'2017 Trimestre 1-Formato 2'!K50</f>
        <v>20464399.999999996</v>
      </c>
      <c r="L49" s="164"/>
    </row>
    <row r="50" spans="1:12" s="75" customFormat="1" x14ac:dyDescent="0.25">
      <c r="B50" s="73"/>
      <c r="C50" s="16"/>
      <c r="D50" s="111" t="s">
        <v>67</v>
      </c>
      <c r="E50" s="60" t="str">
        <f>'2017 Trimestre 1-Formato 2'!E51</f>
        <v>BANOBRAS</v>
      </c>
      <c r="F50" s="44">
        <f>'2017 Trimestre 1-Formato 2'!F51</f>
        <v>637014515</v>
      </c>
      <c r="G50" s="44">
        <v>0</v>
      </c>
      <c r="H50" s="44">
        <v>0</v>
      </c>
      <c r="I50" s="48">
        <f>IF(F50&gt;J50,(F50-J50)*-1,(F50-J50)*-1)</f>
        <v>-195969234.36000001</v>
      </c>
      <c r="J50" s="44">
        <f>'2017 Trimestre 1-Formato 2'!J51</f>
        <v>441045280.63999999</v>
      </c>
      <c r="K50" s="44">
        <f>'2017 Trimestre 1-Formato 2'!K51</f>
        <v>13347338.698958891</v>
      </c>
      <c r="L50" s="164"/>
    </row>
    <row r="51" spans="1:12" s="75" customFormat="1" ht="14.45" x14ac:dyDescent="0.3">
      <c r="B51" s="73"/>
      <c r="C51" s="16"/>
      <c r="D51" s="47"/>
      <c r="E51" s="47"/>
      <c r="F51" s="44"/>
      <c r="G51" s="44"/>
      <c r="H51" s="44"/>
      <c r="I51" s="44"/>
      <c r="J51" s="44"/>
      <c r="K51" s="44"/>
      <c r="L51" s="46"/>
    </row>
    <row r="52" spans="1:12" s="75" customFormat="1" ht="14.45" x14ac:dyDescent="0.3">
      <c r="B52" s="116"/>
      <c r="C52" s="117"/>
      <c r="D52" s="118"/>
      <c r="E52" s="118"/>
      <c r="F52" s="119"/>
      <c r="G52" s="119"/>
      <c r="H52" s="119"/>
      <c r="I52" s="119"/>
      <c r="J52" s="119"/>
      <c r="K52" s="119"/>
      <c r="L52" s="120"/>
    </row>
    <row r="53" spans="1:12" s="75" customFormat="1" ht="14.45" x14ac:dyDescent="0.3">
      <c r="B53" s="16"/>
      <c r="C53" s="16"/>
      <c r="D53" s="47"/>
      <c r="E53" s="47"/>
      <c r="F53" s="44"/>
      <c r="G53" s="44"/>
      <c r="H53" s="44"/>
      <c r="I53" s="44"/>
      <c r="J53" s="44"/>
      <c r="K53" s="44"/>
      <c r="L53" s="44"/>
    </row>
    <row r="54" spans="1:12" s="75" customFormat="1" ht="14.45" x14ac:dyDescent="0.3">
      <c r="B54" s="16"/>
      <c r="C54" s="16"/>
      <c r="D54" s="47"/>
      <c r="E54" s="47"/>
      <c r="F54" s="44"/>
      <c r="G54" s="44"/>
      <c r="H54" s="44"/>
      <c r="I54" s="44"/>
      <c r="J54" s="44"/>
      <c r="K54" s="44"/>
      <c r="L54" s="44"/>
    </row>
    <row r="55" spans="1:12" s="75" customFormat="1" ht="14.45" x14ac:dyDescent="0.3">
      <c r="B55" s="16"/>
      <c r="C55" s="16"/>
      <c r="D55" s="47"/>
      <c r="E55" s="47"/>
      <c r="F55" s="44"/>
      <c r="G55" s="44"/>
      <c r="H55" s="44"/>
      <c r="I55" s="44"/>
      <c r="J55" s="44"/>
      <c r="K55" s="44"/>
      <c r="L55" s="44"/>
    </row>
    <row r="56" spans="1:12" s="75" customFormat="1" ht="14.45" customHeight="1" x14ac:dyDescent="0.25">
      <c r="B56" s="16"/>
      <c r="C56" s="16"/>
      <c r="D56" s="177" t="s">
        <v>62</v>
      </c>
      <c r="E56" s="177"/>
      <c r="F56" s="178" t="s">
        <v>24</v>
      </c>
      <c r="G56" s="178" t="s">
        <v>145</v>
      </c>
      <c r="H56" s="178" t="s">
        <v>25</v>
      </c>
      <c r="I56" s="178" t="s">
        <v>26</v>
      </c>
      <c r="J56" s="178" t="s">
        <v>27</v>
      </c>
      <c r="L56" s="44"/>
    </row>
    <row r="57" spans="1:12" s="75" customFormat="1" x14ac:dyDescent="0.25">
      <c r="B57" s="16"/>
      <c r="C57" s="16"/>
      <c r="D57" s="178"/>
      <c r="E57" s="178"/>
      <c r="F57" s="179"/>
      <c r="G57" s="179"/>
      <c r="H57" s="179"/>
      <c r="I57" s="179"/>
      <c r="J57" s="179"/>
      <c r="L57" s="44"/>
    </row>
    <row r="58" spans="1:12" s="75" customFormat="1" ht="14.45" x14ac:dyDescent="0.3">
      <c r="B58" s="16"/>
      <c r="C58" s="16"/>
      <c r="D58" s="141" t="s">
        <v>65</v>
      </c>
      <c r="E58" s="142" t="s">
        <v>90</v>
      </c>
      <c r="F58" s="150">
        <v>1800000000</v>
      </c>
      <c r="G58" s="143">
        <v>12</v>
      </c>
      <c r="H58" s="143" t="s">
        <v>146</v>
      </c>
      <c r="I58" s="151">
        <v>8352000</v>
      </c>
      <c r="J58" s="144">
        <v>6.7446887201818156E-2</v>
      </c>
      <c r="L58" s="44"/>
    </row>
    <row r="59" spans="1:12" s="75" customFormat="1" ht="14.45" x14ac:dyDescent="0.3">
      <c r="B59" s="16"/>
      <c r="C59" s="16"/>
      <c r="D59" s="47"/>
      <c r="E59" s="47"/>
      <c r="F59" s="44"/>
      <c r="G59" s="44"/>
      <c r="H59" s="44"/>
      <c r="I59" s="44"/>
      <c r="J59" s="44"/>
      <c r="K59" s="44"/>
      <c r="L59" s="44"/>
    </row>
    <row r="60" spans="1:12" s="75" customFormat="1" ht="14.45" x14ac:dyDescent="0.3">
      <c r="B60" s="16"/>
      <c r="C60" s="16"/>
      <c r="D60" s="47"/>
      <c r="E60" s="47"/>
      <c r="F60" s="44"/>
      <c r="G60" s="44"/>
      <c r="H60" s="44"/>
      <c r="I60" s="44"/>
      <c r="J60" s="44"/>
      <c r="K60" s="44"/>
      <c r="L60" s="44"/>
    </row>
    <row r="61" spans="1:12" s="75" customFormat="1" ht="14.45" x14ac:dyDescent="0.3">
      <c r="B61" s="16"/>
      <c r="C61" s="16"/>
      <c r="D61" s="47"/>
      <c r="E61" s="47"/>
      <c r="F61" s="44"/>
      <c r="G61" s="44"/>
      <c r="H61" s="44"/>
      <c r="I61" s="44"/>
      <c r="J61" s="44"/>
      <c r="K61" s="44"/>
      <c r="L61" s="44"/>
    </row>
    <row r="62" spans="1:12" s="84" customFormat="1" ht="22.15" customHeight="1" x14ac:dyDescent="0.25">
      <c r="A62" s="162" t="s">
        <v>23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</row>
    <row r="63" spans="1:12" s="84" customFormat="1" ht="22.15" customHeight="1" x14ac:dyDescent="0.2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</row>
    <row r="64" spans="1:12" ht="20.25" customHeight="1" x14ac:dyDescent="0.25">
      <c r="A64" s="87" t="s">
        <v>137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20.25" customHeight="1" x14ac:dyDescent="0.25">
      <c r="A65" s="162" t="s">
        <v>136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</row>
    <row r="66" spans="1:12" ht="20.2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</row>
    <row r="67" spans="1:12" ht="20.25" customHeight="1" x14ac:dyDescent="0.25">
      <c r="A67" s="148" t="s">
        <v>144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1:12" ht="20.25" customHeight="1" x14ac:dyDescent="0.2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1:12" ht="20.25" customHeight="1" x14ac:dyDescent="0.25"/>
    <row r="70" spans="1:12" ht="20.25" customHeight="1" x14ac:dyDescent="0.25"/>
  </sheetData>
  <mergeCells count="14">
    <mergeCell ref="L47:L50"/>
    <mergeCell ref="G56:G57"/>
    <mergeCell ref="H56:H57"/>
    <mergeCell ref="J56:J57"/>
    <mergeCell ref="B2:L2"/>
    <mergeCell ref="B3:L3"/>
    <mergeCell ref="B4:L4"/>
    <mergeCell ref="B5:L5"/>
    <mergeCell ref="B6:E6"/>
    <mergeCell ref="A62:L63"/>
    <mergeCell ref="A65:L66"/>
    <mergeCell ref="D56:E57"/>
    <mergeCell ref="F56:F57"/>
    <mergeCell ref="I56:I57"/>
  </mergeCells>
  <pageMargins left="0.62992125984251968" right="0.62992125984251968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72"/>
  <sheetViews>
    <sheetView showGridLines="0" zoomScale="70" zoomScaleNormal="70" workbookViewId="0">
      <pane xSplit="5" ySplit="6" topLeftCell="F7" activePane="bottomRight" state="frozen"/>
      <selection pane="topRight" activeCell="G1" sqref="G1"/>
      <selection pane="bottomLeft" activeCell="A7" sqref="A7"/>
      <selection pane="bottomRight" activeCell="L33" sqref="L33"/>
    </sheetView>
  </sheetViews>
  <sheetFormatPr baseColWidth="10" defaultRowHeight="15" outlineLevelRow="1" x14ac:dyDescent="0.25"/>
  <cols>
    <col min="1" max="1" width="3.140625" customWidth="1"/>
    <col min="2" max="2" width="3.42578125" customWidth="1"/>
    <col min="3" max="3" width="2.7109375" customWidth="1"/>
    <col min="4" max="4" width="4.140625" customWidth="1"/>
    <col min="5" max="5" width="30" customWidth="1"/>
    <col min="6" max="12" width="24.28515625" customWidth="1"/>
    <col min="13" max="13" width="14" customWidth="1"/>
  </cols>
  <sheetData>
    <row r="1" spans="1:12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8" x14ac:dyDescent="0.3">
      <c r="B2" s="165" t="s">
        <v>50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s="1" customFormat="1" ht="17.25" x14ac:dyDescent="0.25">
      <c r="B3" s="166" t="s">
        <v>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1" customFormat="1" ht="15.6" x14ac:dyDescent="0.3">
      <c r="B4" s="167" t="s">
        <v>52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1" customFormat="1" ht="14.45" x14ac:dyDescent="0.3">
      <c r="B5" s="168" t="s">
        <v>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67.5" customHeight="1" x14ac:dyDescent="0.25">
      <c r="B6" s="169" t="s">
        <v>9</v>
      </c>
      <c r="C6" s="170"/>
      <c r="D6" s="170"/>
      <c r="E6" s="170"/>
      <c r="F6" s="58" t="s">
        <v>51</v>
      </c>
      <c r="G6" s="58" t="s">
        <v>11</v>
      </c>
      <c r="H6" s="58" t="s">
        <v>12</v>
      </c>
      <c r="I6" s="58" t="s">
        <v>13</v>
      </c>
      <c r="J6" s="58" t="s">
        <v>14</v>
      </c>
      <c r="K6" s="58" t="s">
        <v>15</v>
      </c>
      <c r="L6" s="58" t="s">
        <v>16</v>
      </c>
    </row>
    <row r="7" spans="1:12" x14ac:dyDescent="0.25">
      <c r="B7" s="54" t="s">
        <v>5</v>
      </c>
      <c r="C7" s="55"/>
      <c r="D7" s="55"/>
      <c r="E7" s="55"/>
      <c r="F7" s="56">
        <f>SUM(F8,F26)</f>
        <v>21738685155.529999</v>
      </c>
      <c r="G7" s="56">
        <f t="shared" ref="G7:L7" si="0">SUM(G8,G26)</f>
        <v>4913934381</v>
      </c>
      <c r="H7" s="56">
        <f t="shared" si="0"/>
        <v>0</v>
      </c>
      <c r="I7" s="56">
        <f t="shared" si="0"/>
        <v>0</v>
      </c>
      <c r="J7" s="56">
        <f>SUM(J8,J26)</f>
        <v>22538685155.529999</v>
      </c>
      <c r="K7" s="56">
        <f t="shared" si="0"/>
        <v>0</v>
      </c>
      <c r="L7" s="57">
        <f t="shared" si="0"/>
        <v>7440</v>
      </c>
    </row>
    <row r="8" spans="1:12" ht="14.45" x14ac:dyDescent="0.3">
      <c r="B8" s="38"/>
      <c r="C8" s="32" t="s">
        <v>6</v>
      </c>
      <c r="D8" s="35"/>
      <c r="E8" s="35"/>
      <c r="F8" s="36">
        <f>SUM(F9,F22,F24)</f>
        <v>1000000000</v>
      </c>
      <c r="G8" s="37">
        <f t="shared" ref="G8:H8" si="1">SUM(G9,G22,G24)</f>
        <v>4913934381</v>
      </c>
      <c r="H8" s="37">
        <f t="shared" si="1"/>
        <v>0</v>
      </c>
      <c r="I8" s="37">
        <f>SUM(I9,I22,I24)</f>
        <v>0</v>
      </c>
      <c r="J8" s="37">
        <f>J9</f>
        <v>1800000000</v>
      </c>
      <c r="K8" s="37">
        <v>0</v>
      </c>
      <c r="L8" s="45">
        <v>0</v>
      </c>
    </row>
    <row r="9" spans="1:12" x14ac:dyDescent="0.25">
      <c r="B9" s="39"/>
      <c r="C9" s="30"/>
      <c r="D9" s="31" t="s">
        <v>53</v>
      </c>
      <c r="E9" s="26"/>
      <c r="F9" s="27">
        <f>SUM(F10,F14,F16,F18,F20)</f>
        <v>1000000000</v>
      </c>
      <c r="G9" s="28">
        <f>SUM(G10,G14,G16,G18,G20)</f>
        <v>4913934381</v>
      </c>
      <c r="H9" s="28">
        <f>SUM(H10,H14,H16,H18,H20)</f>
        <v>0</v>
      </c>
      <c r="I9" s="28">
        <f>SUM(I10,I14,I16,I18,I20)</f>
        <v>0</v>
      </c>
      <c r="J9" s="28">
        <v>1800000000</v>
      </c>
      <c r="K9" s="28">
        <v>0</v>
      </c>
      <c r="L9" s="29">
        <v>0</v>
      </c>
    </row>
    <row r="10" spans="1:12" ht="14.45" x14ac:dyDescent="0.3">
      <c r="B10" s="14"/>
      <c r="C10" s="15"/>
      <c r="D10" s="13"/>
      <c r="E10" s="16" t="s">
        <v>57</v>
      </c>
      <c r="F10" s="44">
        <f>SUM(F11:F$13)</f>
        <v>1000000000</v>
      </c>
      <c r="G10" s="44">
        <f>SUM(G11:G$13)</f>
        <v>2913934381</v>
      </c>
      <c r="H10" s="44">
        <v>0</v>
      </c>
      <c r="I10" s="19"/>
      <c r="J10" s="20"/>
      <c r="K10" s="44"/>
      <c r="L10" s="46"/>
    </row>
    <row r="11" spans="1:12" ht="14.45" hidden="1" outlineLevel="1" x14ac:dyDescent="0.3">
      <c r="B11" s="14"/>
      <c r="C11" s="15"/>
      <c r="D11" s="13"/>
      <c r="E11" s="16"/>
      <c r="F11" s="44">
        <f>'Trimestre 1-Formato 2'!F11</f>
        <v>1000000000</v>
      </c>
      <c r="G11" s="44">
        <v>0</v>
      </c>
      <c r="H11" s="44" t="e">
        <f>SUM('Trimestre 1-Formato 2'!H11+'Trimestre 2-Formato 2'!H11+'Trimestre 3-Formato 2'!H11+'2017 Trimestre 1-Formato 2'!#REF!)</f>
        <v>#REF!</v>
      </c>
      <c r="I11" s="44"/>
      <c r="J11" s="44"/>
      <c r="K11" s="44"/>
      <c r="L11" s="46"/>
    </row>
    <row r="12" spans="1:12" ht="14.45" hidden="1" outlineLevel="1" x14ac:dyDescent="0.3">
      <c r="B12" s="14"/>
      <c r="C12" s="15"/>
      <c r="D12" s="13"/>
      <c r="E12" s="16"/>
      <c r="F12" s="44"/>
      <c r="G12" s="44">
        <v>1838917507.53</v>
      </c>
      <c r="H12" s="44" t="e">
        <f>'Trimestre 2-Formato 2'!H12+'Trimestre 3-Formato 2'!H12+'2017 Trimestre 1-Formato 2'!#REF!</f>
        <v>#REF!</v>
      </c>
      <c r="I12" s="44"/>
      <c r="J12" s="44"/>
      <c r="K12" s="44"/>
      <c r="L12" s="164"/>
    </row>
    <row r="13" spans="1:12" ht="14.45" hidden="1" outlineLevel="1" x14ac:dyDescent="0.3">
      <c r="B13" s="14"/>
      <c r="C13" s="15"/>
      <c r="D13" s="13"/>
      <c r="E13" s="13"/>
      <c r="F13" s="44"/>
      <c r="G13" s="44">
        <v>1075016873.47</v>
      </c>
      <c r="H13" s="44" t="e">
        <f>SUM('Trimestre 2-Formato 2'!H13+'Trimestre 3-Formato 2'!H13+'2017 Trimestre 1-Formato 2'!#REF!)</f>
        <v>#REF!</v>
      </c>
      <c r="I13" s="44"/>
      <c r="J13" s="44"/>
      <c r="K13" s="44"/>
      <c r="L13" s="164"/>
    </row>
    <row r="14" spans="1:12" ht="14.45" collapsed="1" x14ac:dyDescent="0.3">
      <c r="B14" s="14"/>
      <c r="C14" s="15"/>
      <c r="D14" s="13"/>
      <c r="E14" s="12" t="s">
        <v>58</v>
      </c>
      <c r="F14" s="44">
        <f>SUM(F15:F15)</f>
        <v>0</v>
      </c>
      <c r="G14" s="44">
        <f t="shared" ref="G14" si="2">SUM(G15:G15)</f>
        <v>500000000</v>
      </c>
      <c r="H14" s="44">
        <v>0</v>
      </c>
      <c r="I14" s="20"/>
      <c r="J14" s="20"/>
      <c r="K14" s="44"/>
      <c r="L14" s="46"/>
    </row>
    <row r="15" spans="1:12" s="75" customFormat="1" ht="15.75" hidden="1" customHeight="1" outlineLevel="1" x14ac:dyDescent="0.3">
      <c r="B15" s="73"/>
      <c r="C15" s="16"/>
      <c r="D15" s="47"/>
      <c r="E15" s="74"/>
      <c r="F15" s="44"/>
      <c r="G15" s="44">
        <f>'Trimestre 1-Formato 2'!G15</f>
        <v>500000000</v>
      </c>
      <c r="H15" s="44">
        <f>'Trimestre 1-Formato 2'!H15+'Trimestre 2-Formato 2'!H15+'Trimestre 3-Formato 2'!H15+0</f>
        <v>500000000</v>
      </c>
      <c r="I15" s="44"/>
      <c r="J15" s="44"/>
      <c r="K15" s="44"/>
      <c r="L15" s="46"/>
    </row>
    <row r="16" spans="1:12" ht="14.45" collapsed="1" x14ac:dyDescent="0.3">
      <c r="B16" s="14"/>
      <c r="C16" s="15"/>
      <c r="D16" s="13"/>
      <c r="E16" s="12" t="s">
        <v>59</v>
      </c>
      <c r="F16" s="44">
        <f>SUM(F17:F17)</f>
        <v>0</v>
      </c>
      <c r="G16" s="44">
        <f t="shared" ref="G16" si="3">SUM(G17:G17)</f>
        <v>1000000000</v>
      </c>
      <c r="H16" s="44">
        <v>0</v>
      </c>
      <c r="I16" s="20"/>
      <c r="J16" s="20"/>
      <c r="K16" s="44"/>
      <c r="L16" s="46"/>
    </row>
    <row r="17" spans="2:12" ht="14.45" hidden="1" outlineLevel="1" x14ac:dyDescent="0.3">
      <c r="B17" s="14"/>
      <c r="C17" s="15"/>
      <c r="D17" s="13"/>
      <c r="E17" s="12"/>
      <c r="F17" s="44"/>
      <c r="G17" s="44">
        <f>'Trimestre 1-Formato 2'!G17</f>
        <v>1000000000</v>
      </c>
      <c r="H17" s="44">
        <f>SUM('Trimestre 1-Formato 2'!H17+'Trimestre 2-Formato 2'!H17)</f>
        <v>1000000000</v>
      </c>
      <c r="I17" s="44"/>
      <c r="J17" s="44"/>
      <c r="K17" s="44"/>
      <c r="L17" s="46"/>
    </row>
    <row r="18" spans="2:12" ht="14.45" collapsed="1" x14ac:dyDescent="0.3">
      <c r="B18" s="14"/>
      <c r="C18" s="15"/>
      <c r="D18" s="13"/>
      <c r="E18" s="12" t="s">
        <v>60</v>
      </c>
      <c r="F18" s="44">
        <f>SUM(F19:F19)</f>
        <v>0</v>
      </c>
      <c r="G18" s="44">
        <f t="shared" ref="G18" si="4">SUM(G19:G19)</f>
        <v>500000000</v>
      </c>
      <c r="H18" s="44">
        <v>0</v>
      </c>
      <c r="I18" s="20"/>
      <c r="J18" s="20"/>
      <c r="K18" s="44"/>
      <c r="L18" s="46"/>
    </row>
    <row r="19" spans="2:12" s="75" customFormat="1" ht="14.45" hidden="1" outlineLevel="1" x14ac:dyDescent="0.3">
      <c r="B19" s="73"/>
      <c r="C19" s="16"/>
      <c r="D19" s="47"/>
      <c r="E19" s="74"/>
      <c r="F19" s="44"/>
      <c r="G19" s="44">
        <f>'Trimestre 1-Formato 2'!G19</f>
        <v>500000000</v>
      </c>
      <c r="H19" s="44">
        <f>SUM('Trimestre 1-Formato 2'!H19+'Trimestre 2-Formato 2'!H19)</f>
        <v>500000000</v>
      </c>
      <c r="I19" s="44"/>
      <c r="J19" s="44"/>
      <c r="K19" s="44">
        <f>SUM('Trimestre 1-Formato 2'!K19+'Trimestre 2-Formato 2'!K19)</f>
        <v>3959119.9075084967</v>
      </c>
      <c r="L19" s="46">
        <f>5000000*1.16</f>
        <v>5800000</v>
      </c>
    </row>
    <row r="20" spans="2:12" ht="14.45" collapsed="1" x14ac:dyDescent="0.3">
      <c r="B20" s="14"/>
      <c r="C20" s="15"/>
      <c r="D20" s="13"/>
      <c r="E20" s="12" t="s">
        <v>61</v>
      </c>
      <c r="F20" s="44">
        <f>SUM(F21:F21)</f>
        <v>0</v>
      </c>
      <c r="G20" s="82" t="s">
        <v>124</v>
      </c>
      <c r="H20" s="44">
        <v>0</v>
      </c>
      <c r="I20" s="44"/>
      <c r="J20" s="44"/>
      <c r="K20" s="85" t="s">
        <v>132</v>
      </c>
      <c r="L20" s="85" t="s">
        <v>133</v>
      </c>
    </row>
    <row r="21" spans="2:12" s="75" customFormat="1" ht="15" hidden="1" customHeight="1" outlineLevel="1" x14ac:dyDescent="0.3">
      <c r="B21" s="73"/>
      <c r="C21" s="16"/>
      <c r="D21" s="47"/>
      <c r="E21" s="74"/>
      <c r="F21" s="44"/>
      <c r="G21" s="44">
        <f>'2017 Trimestre 1-Formato 2'!G11</f>
        <v>0</v>
      </c>
      <c r="H21" s="44">
        <f>'2017 Trimestre 1-Formato 2'!H11</f>
        <v>450000000</v>
      </c>
      <c r="I21" s="44">
        <v>0</v>
      </c>
      <c r="J21" s="44">
        <f t="shared" ref="J21" si="5">+F21+G21-H21+I21</f>
        <v>-450000000</v>
      </c>
      <c r="K21" s="44">
        <f>'2017 Trimestre 1-Formato 2'!K11</f>
        <v>24782791.666666664</v>
      </c>
      <c r="L21" s="46">
        <f>'2017 Trimestre 1-Formato 2'!L11</f>
        <v>0</v>
      </c>
    </row>
    <row r="22" spans="2:12" collapsed="1" x14ac:dyDescent="0.25">
      <c r="B22" s="40"/>
      <c r="C22" s="25"/>
      <c r="D22" s="25" t="s">
        <v>54</v>
      </c>
      <c r="E22" s="26"/>
      <c r="F22" s="27">
        <f>SUM(F23)</f>
        <v>0</v>
      </c>
      <c r="G22" s="28">
        <f t="shared" ref="G22:L22" si="6">SUM(G23)</f>
        <v>0</v>
      </c>
      <c r="H22" s="28">
        <f t="shared" si="6"/>
        <v>0</v>
      </c>
      <c r="I22" s="28">
        <f t="shared" si="6"/>
        <v>0</v>
      </c>
      <c r="J22" s="28">
        <f>SUM(J23)</f>
        <v>0</v>
      </c>
      <c r="K22" s="28">
        <f t="shared" si="6"/>
        <v>0</v>
      </c>
      <c r="L22" s="29">
        <f t="shared" si="6"/>
        <v>0</v>
      </c>
    </row>
    <row r="23" spans="2:12" ht="14.45" hidden="1" outlineLevel="1" x14ac:dyDescent="0.3">
      <c r="B23" s="14"/>
      <c r="C23" s="15"/>
      <c r="D23" s="15"/>
      <c r="E23" s="13"/>
      <c r="F23" s="19"/>
      <c r="G23" s="20"/>
      <c r="H23" s="20"/>
      <c r="I23" s="20"/>
      <c r="J23" s="20"/>
      <c r="K23" s="20"/>
      <c r="L23" s="21"/>
    </row>
    <row r="24" spans="2:12" ht="14.45" collapsed="1" x14ac:dyDescent="0.3">
      <c r="B24" s="39"/>
      <c r="C24" s="25"/>
      <c r="D24" s="25" t="s">
        <v>7</v>
      </c>
      <c r="E24" s="26"/>
      <c r="F24" s="27">
        <f>SUM(F25)</f>
        <v>0</v>
      </c>
      <c r="G24" s="28">
        <f t="shared" ref="G24:L24" si="7">SUM(G25)</f>
        <v>0</v>
      </c>
      <c r="H24" s="28">
        <f t="shared" si="7"/>
        <v>0</v>
      </c>
      <c r="I24" s="28">
        <f t="shared" si="7"/>
        <v>0</v>
      </c>
      <c r="J24" s="28">
        <f t="shared" si="7"/>
        <v>0</v>
      </c>
      <c r="K24" s="28">
        <f t="shared" si="7"/>
        <v>0</v>
      </c>
      <c r="L24" s="29">
        <f t="shared" si="7"/>
        <v>0</v>
      </c>
    </row>
    <row r="25" spans="2:12" ht="14.45" hidden="1" outlineLevel="1" x14ac:dyDescent="0.3">
      <c r="B25" s="11"/>
      <c r="C25" s="15"/>
      <c r="D25" s="15"/>
      <c r="E25" s="13"/>
      <c r="F25" s="19"/>
      <c r="G25" s="20"/>
      <c r="H25" s="20"/>
      <c r="I25" s="20"/>
      <c r="J25" s="20"/>
      <c r="K25" s="20"/>
      <c r="L25" s="21"/>
    </row>
    <row r="26" spans="2:12" ht="14.45" collapsed="1" x14ac:dyDescent="0.3">
      <c r="B26" s="41"/>
      <c r="C26" s="32" t="s">
        <v>8</v>
      </c>
      <c r="D26" s="32"/>
      <c r="E26" s="32"/>
      <c r="F26" s="33">
        <f t="shared" ref="F26:L26" si="8">SUM(F27,F40,F45)</f>
        <v>20738685155.529999</v>
      </c>
      <c r="G26" s="33">
        <f t="shared" si="8"/>
        <v>0</v>
      </c>
      <c r="H26" s="33">
        <f>SUM(H27,H40,H45)</f>
        <v>0</v>
      </c>
      <c r="I26" s="33">
        <f t="shared" si="8"/>
        <v>0</v>
      </c>
      <c r="J26" s="33">
        <f>SUM(J27,J40,J45)</f>
        <v>20738685155.529999</v>
      </c>
      <c r="K26" s="33">
        <f t="shared" si="8"/>
        <v>0</v>
      </c>
      <c r="L26" s="34">
        <f t="shared" si="8"/>
        <v>7440</v>
      </c>
    </row>
    <row r="27" spans="2:12" x14ac:dyDescent="0.25">
      <c r="B27" s="39"/>
      <c r="C27" s="24"/>
      <c r="D27" s="25" t="s">
        <v>55</v>
      </c>
      <c r="E27" s="26"/>
      <c r="F27" s="28">
        <f>SUM(F28:F39)</f>
        <v>20738685155.529999</v>
      </c>
      <c r="G27" s="28">
        <f>SUM(G28:G39)</f>
        <v>0</v>
      </c>
      <c r="H27" s="28">
        <f>SUM(H28:H39)</f>
        <v>0</v>
      </c>
      <c r="I27" s="28">
        <f t="shared" ref="I27:L27" si="9">SUM(I28:I35)</f>
        <v>0</v>
      </c>
      <c r="J27" s="28">
        <f>+F27+G27-H27+I27</f>
        <v>20738685155.529999</v>
      </c>
      <c r="K27" s="28">
        <f>SUM(K28:K39)</f>
        <v>0</v>
      </c>
      <c r="L27" s="29">
        <f t="shared" si="9"/>
        <v>7440</v>
      </c>
    </row>
    <row r="28" spans="2:12" ht="14.45" x14ac:dyDescent="0.3">
      <c r="B28" s="11"/>
      <c r="C28" s="10"/>
      <c r="D28" s="10"/>
      <c r="E28" s="60" t="s">
        <v>77</v>
      </c>
      <c r="F28" s="20">
        <f>'Trimestre 1-Formato 2'!F28</f>
        <v>4419081905.9400005</v>
      </c>
      <c r="G28" s="20">
        <v>0</v>
      </c>
      <c r="H28" s="20" t="s">
        <v>114</v>
      </c>
      <c r="I28" s="20"/>
      <c r="J28" s="44"/>
      <c r="K28" s="20" t="s">
        <v>104</v>
      </c>
      <c r="L28" s="21">
        <v>930</v>
      </c>
    </row>
    <row r="29" spans="2:12" ht="14.45" x14ac:dyDescent="0.3">
      <c r="B29" s="11"/>
      <c r="C29" s="10"/>
      <c r="D29" s="10"/>
      <c r="E29" s="60" t="s">
        <v>78</v>
      </c>
      <c r="F29" s="20">
        <f>'Trimestre 1-Formato 2'!F29</f>
        <v>1358770926.9099998</v>
      </c>
      <c r="G29" s="20">
        <v>0</v>
      </c>
      <c r="H29" s="20" t="s">
        <v>115</v>
      </c>
      <c r="I29" s="20"/>
      <c r="J29" s="44"/>
      <c r="K29" s="20" t="s">
        <v>105</v>
      </c>
      <c r="L29" s="21">
        <v>930</v>
      </c>
    </row>
    <row r="30" spans="2:12" ht="14.45" x14ac:dyDescent="0.3">
      <c r="B30" s="11"/>
      <c r="C30" s="10"/>
      <c r="D30" s="10"/>
      <c r="E30" s="60" t="s">
        <v>79</v>
      </c>
      <c r="F30" s="20">
        <f>'Trimestre 1-Formato 2'!F30</f>
        <v>1685255678.9800003</v>
      </c>
      <c r="G30" s="20">
        <v>0</v>
      </c>
      <c r="H30" s="20" t="s">
        <v>116</v>
      </c>
      <c r="I30" s="20"/>
      <c r="J30" s="44"/>
      <c r="K30" s="20" t="s">
        <v>106</v>
      </c>
      <c r="L30" s="21">
        <v>930</v>
      </c>
    </row>
    <row r="31" spans="2:12" ht="14.45" x14ac:dyDescent="0.3">
      <c r="B31" s="11"/>
      <c r="C31" s="10"/>
      <c r="D31" s="10"/>
      <c r="E31" s="60" t="s">
        <v>80</v>
      </c>
      <c r="F31" s="20">
        <f>'Trimestre 1-Formato 2'!F31</f>
        <v>1992006998.4700003</v>
      </c>
      <c r="G31" s="20">
        <v>0</v>
      </c>
      <c r="H31" s="20" t="s">
        <v>121</v>
      </c>
      <c r="I31" s="20"/>
      <c r="J31" s="44"/>
      <c r="K31" s="20" t="s">
        <v>107</v>
      </c>
      <c r="L31" s="21">
        <v>930</v>
      </c>
    </row>
    <row r="32" spans="2:12" ht="14.45" x14ac:dyDescent="0.3">
      <c r="B32" s="11"/>
      <c r="C32" s="10"/>
      <c r="D32" s="10"/>
      <c r="E32" s="60" t="s">
        <v>81</v>
      </c>
      <c r="F32" s="20">
        <f>'Trimestre 1-Formato 2'!F32</f>
        <v>1355185117.7999997</v>
      </c>
      <c r="G32" s="20">
        <v>0</v>
      </c>
      <c r="H32" s="20" t="s">
        <v>117</v>
      </c>
      <c r="I32" s="20"/>
      <c r="J32" s="44"/>
      <c r="K32" s="20" t="s">
        <v>108</v>
      </c>
      <c r="L32" s="21">
        <v>930</v>
      </c>
    </row>
    <row r="33" spans="2:15" ht="14.45" x14ac:dyDescent="0.3">
      <c r="B33" s="11"/>
      <c r="C33" s="10"/>
      <c r="D33" s="10"/>
      <c r="E33" s="60" t="s">
        <v>82</v>
      </c>
      <c r="F33" s="20">
        <f>'Trimestre 1-Formato 2'!F33</f>
        <v>1977933813.9899998</v>
      </c>
      <c r="G33" s="20">
        <v>0</v>
      </c>
      <c r="H33" s="20" t="s">
        <v>118</v>
      </c>
      <c r="I33" s="20"/>
      <c r="J33" s="44"/>
      <c r="K33" s="20" t="s">
        <v>109</v>
      </c>
      <c r="L33" s="21">
        <v>930</v>
      </c>
    </row>
    <row r="34" spans="2:15" ht="14.45" x14ac:dyDescent="0.3">
      <c r="B34" s="11"/>
      <c r="C34" s="10"/>
      <c r="D34" s="10"/>
      <c r="E34" s="60" t="s">
        <v>83</v>
      </c>
      <c r="F34" s="20">
        <f>'Trimestre 1-Formato 2'!F34</f>
        <v>991374094.12999976</v>
      </c>
      <c r="G34" s="20">
        <v>0</v>
      </c>
      <c r="H34" s="20" t="s">
        <v>119</v>
      </c>
      <c r="I34" s="20"/>
      <c r="J34" s="44"/>
      <c r="K34" s="20" t="s">
        <v>110</v>
      </c>
      <c r="L34" s="21">
        <v>930</v>
      </c>
    </row>
    <row r="35" spans="2:15" ht="14.45" x14ac:dyDescent="0.3">
      <c r="B35" s="11"/>
      <c r="C35" s="10"/>
      <c r="D35" s="10"/>
      <c r="E35" s="60" t="s">
        <v>84</v>
      </c>
      <c r="F35" s="20">
        <f>'Trimestre 1-Formato 2'!F35</f>
        <v>1319466228.72</v>
      </c>
      <c r="G35" s="20">
        <v>0</v>
      </c>
      <c r="H35" s="20" t="s">
        <v>120</v>
      </c>
      <c r="I35" s="20"/>
      <c r="J35" s="44"/>
      <c r="K35" s="20" t="s">
        <v>111</v>
      </c>
      <c r="L35" s="21">
        <v>930</v>
      </c>
    </row>
    <row r="36" spans="2:15" ht="14.45" x14ac:dyDescent="0.3">
      <c r="B36" s="11"/>
      <c r="C36" s="10"/>
      <c r="D36" s="10"/>
      <c r="E36" s="60"/>
      <c r="F36" s="20">
        <f>'Trimestre 1-Formato 2'!F36</f>
        <v>0</v>
      </c>
      <c r="G36" s="20"/>
      <c r="H36" s="20"/>
      <c r="I36" s="20"/>
      <c r="J36" s="44"/>
      <c r="K36" s="20"/>
      <c r="L36" s="21"/>
      <c r="O36" s="20"/>
    </row>
    <row r="37" spans="2:15" ht="14.45" x14ac:dyDescent="0.3">
      <c r="B37" s="11"/>
      <c r="C37" s="10"/>
      <c r="D37" s="10"/>
      <c r="E37" s="60" t="s">
        <v>85</v>
      </c>
      <c r="F37" s="20">
        <f>'Trimestre 1-Formato 2'!F37</f>
        <v>4656953230.5700006</v>
      </c>
      <c r="G37" s="44">
        <v>0</v>
      </c>
      <c r="H37" s="20" t="s">
        <v>122</v>
      </c>
      <c r="I37" s="44"/>
      <c r="J37" s="44"/>
      <c r="K37" s="20" t="s">
        <v>112</v>
      </c>
      <c r="L37" s="21">
        <v>930</v>
      </c>
      <c r="N37" s="20"/>
      <c r="O37" s="20"/>
    </row>
    <row r="38" spans="2:15" ht="14.45" x14ac:dyDescent="0.3">
      <c r="B38" s="11"/>
      <c r="C38" s="10"/>
      <c r="D38" s="10"/>
      <c r="E38" s="60" t="s">
        <v>86</v>
      </c>
      <c r="F38" s="20">
        <f>'Trimestre 1-Formato 2'!F38</f>
        <v>982657160.01999986</v>
      </c>
      <c r="G38" s="44">
        <v>0</v>
      </c>
      <c r="H38" s="20" t="s">
        <v>123</v>
      </c>
      <c r="I38" s="44"/>
      <c r="J38" s="44"/>
      <c r="K38" s="20" t="s">
        <v>113</v>
      </c>
      <c r="L38" s="21">
        <v>930</v>
      </c>
      <c r="N38" s="20"/>
      <c r="O38" s="20"/>
    </row>
    <row r="39" spans="2:15" ht="14.45" x14ac:dyDescent="0.3">
      <c r="B39" s="11"/>
      <c r="C39" s="10"/>
      <c r="D39" s="10"/>
      <c r="E39" s="16"/>
      <c r="F39" s="20"/>
      <c r="G39" s="20"/>
      <c r="H39" s="20"/>
      <c r="I39" s="20"/>
      <c r="J39" s="44"/>
      <c r="K39" s="20"/>
      <c r="L39" s="21"/>
    </row>
    <row r="40" spans="2:15" x14ac:dyDescent="0.25">
      <c r="B40" s="39"/>
      <c r="C40" s="25"/>
      <c r="D40" s="25" t="s">
        <v>56</v>
      </c>
      <c r="E40" s="26"/>
      <c r="F40" s="28">
        <f>SUM(F41)</f>
        <v>0</v>
      </c>
      <c r="G40" s="28">
        <f t="shared" ref="G40:L40" si="10">SUM(G41)</f>
        <v>0</v>
      </c>
      <c r="H40" s="28">
        <f t="shared" si="10"/>
        <v>0</v>
      </c>
      <c r="I40" s="28">
        <f t="shared" si="10"/>
        <v>0</v>
      </c>
      <c r="J40" s="28">
        <f>+F40+G40-H40+I40</f>
        <v>0</v>
      </c>
      <c r="K40" s="28">
        <f t="shared" si="10"/>
        <v>0</v>
      </c>
      <c r="L40" s="29">
        <f t="shared" si="10"/>
        <v>0</v>
      </c>
    </row>
    <row r="41" spans="2:15" ht="14.45" x14ac:dyDescent="0.3">
      <c r="B41" s="11"/>
      <c r="C41" s="15"/>
      <c r="D41" s="15"/>
      <c r="E41" s="13"/>
      <c r="F41" s="20"/>
      <c r="G41" s="20"/>
      <c r="H41" s="20"/>
      <c r="I41" s="20"/>
      <c r="J41" s="80">
        <f t="shared" ref="J41:J46" si="11">+F41+G41-H41+I41</f>
        <v>0</v>
      </c>
      <c r="K41" s="20"/>
      <c r="L41" s="21"/>
    </row>
    <row r="42" spans="2:15" ht="14.45" x14ac:dyDescent="0.3">
      <c r="B42" s="11"/>
      <c r="C42" s="15"/>
      <c r="D42" s="15"/>
      <c r="E42" s="13"/>
      <c r="F42" s="20"/>
      <c r="G42" s="20"/>
      <c r="H42" s="20"/>
      <c r="I42" s="20"/>
      <c r="J42" s="80">
        <f t="shared" si="11"/>
        <v>0</v>
      </c>
      <c r="K42" s="20"/>
      <c r="L42" s="21"/>
    </row>
    <row r="43" spans="2:15" ht="14.45" x14ac:dyDescent="0.3">
      <c r="B43" s="11"/>
      <c r="C43" s="15"/>
      <c r="D43" s="15"/>
      <c r="E43" s="13"/>
      <c r="F43" s="20"/>
      <c r="G43" s="20"/>
      <c r="H43" s="20"/>
      <c r="I43" s="20"/>
      <c r="J43" s="80">
        <f t="shared" si="11"/>
        <v>0</v>
      </c>
      <c r="K43" s="20"/>
      <c r="L43" s="21"/>
    </row>
    <row r="44" spans="2:15" ht="14.45" x14ac:dyDescent="0.3">
      <c r="B44" s="11"/>
      <c r="C44" s="15"/>
      <c r="D44" s="15"/>
      <c r="E44" s="13"/>
      <c r="F44" s="20"/>
      <c r="G44" s="20"/>
      <c r="H44" s="20"/>
      <c r="I44" s="20"/>
      <c r="J44" s="80">
        <f t="shared" si="11"/>
        <v>0</v>
      </c>
      <c r="K44" s="20"/>
      <c r="L44" s="21"/>
    </row>
    <row r="45" spans="2:15" ht="14.45" x14ac:dyDescent="0.3">
      <c r="B45" s="39"/>
      <c r="C45" s="25"/>
      <c r="D45" s="25" t="s">
        <v>17</v>
      </c>
      <c r="E45" s="26"/>
      <c r="F45" s="28">
        <f>SUM(F46)</f>
        <v>0</v>
      </c>
      <c r="G45" s="28">
        <f t="shared" ref="G45:I45" si="12">SUM(G46)</f>
        <v>0</v>
      </c>
      <c r="H45" s="28">
        <f t="shared" si="12"/>
        <v>0</v>
      </c>
      <c r="I45" s="28">
        <f t="shared" si="12"/>
        <v>0</v>
      </c>
      <c r="J45" s="28">
        <f>+F45+G45-H45+I45</f>
        <v>0</v>
      </c>
      <c r="K45" s="28">
        <f t="shared" ref="K45:L45" si="13">SUM(K46)</f>
        <v>0</v>
      </c>
      <c r="L45" s="29">
        <f t="shared" si="13"/>
        <v>0</v>
      </c>
    </row>
    <row r="46" spans="2:15" ht="14.45" x14ac:dyDescent="0.3">
      <c r="B46" s="11"/>
      <c r="C46" s="15"/>
      <c r="D46" s="15"/>
      <c r="E46" s="13"/>
      <c r="F46" s="20"/>
      <c r="G46" s="20"/>
      <c r="H46" s="20"/>
      <c r="I46" s="20"/>
      <c r="J46" s="80">
        <f t="shared" si="11"/>
        <v>0</v>
      </c>
      <c r="K46" s="20"/>
      <c r="L46" s="21"/>
    </row>
    <row r="47" spans="2:15" ht="14.45" x14ac:dyDescent="0.3">
      <c r="B47" s="50" t="s">
        <v>18</v>
      </c>
      <c r="C47" s="51"/>
      <c r="D47" s="51"/>
      <c r="E47" s="51"/>
      <c r="F47" s="52"/>
      <c r="G47" s="52"/>
      <c r="H47" s="52"/>
      <c r="I47" s="52"/>
      <c r="J47" s="52"/>
      <c r="K47" s="52"/>
      <c r="L47" s="53"/>
    </row>
    <row r="48" spans="2:15" x14ac:dyDescent="0.25">
      <c r="B48" s="17" t="s">
        <v>19</v>
      </c>
      <c r="C48" s="18"/>
      <c r="D48" s="18"/>
      <c r="E48" s="18"/>
      <c r="F48" s="49">
        <f t="shared" ref="F48:L48" si="14">F7+F47</f>
        <v>21738685155.529999</v>
      </c>
      <c r="G48" s="49">
        <f t="shared" si="14"/>
        <v>4913934381</v>
      </c>
      <c r="H48" s="49">
        <f t="shared" si="14"/>
        <v>0</v>
      </c>
      <c r="I48" s="49">
        <f t="shared" si="14"/>
        <v>0</v>
      </c>
      <c r="J48" s="49">
        <f t="shared" si="14"/>
        <v>22538685155.529999</v>
      </c>
      <c r="K48" s="49">
        <f t="shared" si="14"/>
        <v>0</v>
      </c>
      <c r="L48" s="49">
        <f t="shared" si="14"/>
        <v>7440</v>
      </c>
    </row>
    <row r="49" spans="2:13" ht="14.45" x14ac:dyDescent="0.3">
      <c r="B49" s="54" t="s">
        <v>20</v>
      </c>
      <c r="C49" s="55"/>
      <c r="D49" s="55"/>
      <c r="E49" s="55"/>
      <c r="F49" s="56"/>
      <c r="G49" s="56"/>
      <c r="H49" s="56"/>
      <c r="I49" s="56"/>
      <c r="J49" s="56"/>
      <c r="K49" s="56"/>
      <c r="L49" s="57"/>
    </row>
    <row r="50" spans="2:13" ht="14.45" x14ac:dyDescent="0.3">
      <c r="B50" s="11"/>
      <c r="D50" s="63" t="s">
        <v>65</v>
      </c>
      <c r="E50" s="61" t="s">
        <v>58</v>
      </c>
      <c r="F50" s="20">
        <f>'Trimestre 1-Formato 2'!F50</f>
        <v>317437076.98000079</v>
      </c>
      <c r="G50" s="20">
        <v>0</v>
      </c>
      <c r="H50" s="20"/>
      <c r="I50" s="20">
        <v>0</v>
      </c>
      <c r="J50" s="20">
        <f>'2017 Trimestre 1-Formato 2'!J41</f>
        <v>277424000.08000106</v>
      </c>
      <c r="K50" s="20">
        <f>SUM('Trimestre 1-Formato 2'!K50+'Trimestre 2-Formato 2'!K50+'Trimestre 3-Formato 2'!K50+'2017 Trimestre 1-Formato 2'!K5)</f>
        <v>12762170.887155037</v>
      </c>
      <c r="L50" s="21"/>
    </row>
    <row r="51" spans="2:13" ht="14.45" x14ac:dyDescent="0.3">
      <c r="B51" s="11"/>
      <c r="D51" s="63" t="s">
        <v>64</v>
      </c>
      <c r="E51" s="61" t="s">
        <v>63</v>
      </c>
      <c r="F51" s="20">
        <f>'Trimestre 1-Formato 2'!F51</f>
        <v>320104615.44000077</v>
      </c>
      <c r="G51" s="20">
        <v>0</v>
      </c>
      <c r="H51" s="20"/>
      <c r="I51" s="20">
        <v>0</v>
      </c>
      <c r="J51" s="20">
        <f>'2017 Trimestre 1-Formato 2'!J42</f>
        <v>280091538.62</v>
      </c>
      <c r="K51" s="20">
        <f>SUM('Trimestre 1-Formato 2'!K51+'Trimestre 2-Formato 2'!K58+'Trimestre 3-Formato 2'!K51+'2017 Trimestre 1-Formato 2'!K42)</f>
        <v>41131688.20156841</v>
      </c>
      <c r="L51" s="21"/>
    </row>
    <row r="52" spans="2:13" x14ac:dyDescent="0.25">
      <c r="B52" s="11"/>
      <c r="D52" s="63" t="s">
        <v>66</v>
      </c>
      <c r="E52" s="60" t="s">
        <v>87</v>
      </c>
      <c r="F52" s="20">
        <f>'Trimestre 1-Formato 2'!F52</f>
        <v>3000000000</v>
      </c>
      <c r="G52" s="20">
        <v>6000000000</v>
      </c>
      <c r="H52" s="77">
        <f>'[6]Inbursa 6000 mdp '!$L$8+3000000000</f>
        <v>3010963676.5</v>
      </c>
      <c r="I52" s="20">
        <v>0</v>
      </c>
      <c r="J52" s="20">
        <f>+F52+G52-H52+I52</f>
        <v>5989036323.5</v>
      </c>
      <c r="K52" s="77">
        <f>'[6]Inbursa 6000 mdp '!$I$8</f>
        <v>0</v>
      </c>
      <c r="L52" s="46"/>
    </row>
    <row r="53" spans="2:13" x14ac:dyDescent="0.25">
      <c r="B53" s="11"/>
      <c r="D53" s="63" t="s">
        <v>67</v>
      </c>
      <c r="E53" s="60" t="s">
        <v>93</v>
      </c>
      <c r="F53" s="20">
        <f>'Trimestre 1-Formato 2'!F53</f>
        <v>2625149999</v>
      </c>
      <c r="G53" s="20">
        <v>0</v>
      </c>
      <c r="H53" s="77">
        <f>SUM('[7]80634'!$H$29:$H$31)</f>
        <v>106650000.00000007</v>
      </c>
      <c r="I53" s="20">
        <v>0</v>
      </c>
      <c r="J53" s="20">
        <f>+F53+G53-H53+I53</f>
        <v>2518499999</v>
      </c>
      <c r="K53" s="77">
        <f>SUM('[7]80634'!$L$29:$L$31)</f>
        <v>108209553.83320417</v>
      </c>
      <c r="L53" s="46"/>
    </row>
    <row r="54" spans="2:13" x14ac:dyDescent="0.25">
      <c r="B54" s="11"/>
      <c r="D54" s="63" t="s">
        <v>72</v>
      </c>
      <c r="E54" s="60"/>
      <c r="F54" s="20"/>
      <c r="G54" s="20"/>
      <c r="H54" s="20"/>
      <c r="I54" s="20"/>
      <c r="J54" s="20"/>
      <c r="K54" s="20"/>
      <c r="L54" s="46"/>
    </row>
    <row r="55" spans="2:13" x14ac:dyDescent="0.25">
      <c r="B55" s="11"/>
      <c r="L55" s="59"/>
    </row>
    <row r="56" spans="2:13" s="6" customFormat="1" x14ac:dyDescent="0.25">
      <c r="B56" s="54" t="s">
        <v>21</v>
      </c>
      <c r="C56" s="55"/>
      <c r="D56" s="55"/>
      <c r="E56" s="55"/>
      <c r="F56" s="56"/>
      <c r="G56" s="56"/>
      <c r="H56" s="56"/>
      <c r="I56" s="56"/>
      <c r="J56" s="56"/>
      <c r="K56" s="56"/>
      <c r="L56" s="57"/>
      <c r="M56"/>
    </row>
    <row r="57" spans="2:13" x14ac:dyDescent="0.25">
      <c r="B57" s="14"/>
      <c r="C57" s="15"/>
      <c r="D57" s="63" t="s">
        <v>65</v>
      </c>
      <c r="E57" s="62" t="s">
        <v>100</v>
      </c>
      <c r="F57" s="44">
        <f>'[8]Banobras 1400'!$L$49</f>
        <v>954083200</v>
      </c>
      <c r="G57" s="44">
        <v>0</v>
      </c>
      <c r="H57" s="44">
        <v>0</v>
      </c>
      <c r="I57" s="20" t="s">
        <v>125</v>
      </c>
      <c r="K57" s="83" t="s">
        <v>131</v>
      </c>
      <c r="L57" s="182">
        <v>34</v>
      </c>
      <c r="M57" s="80">
        <f>'2017 Trimestre 1-Formato 2'!J48</f>
        <v>938263200</v>
      </c>
    </row>
    <row r="58" spans="2:13" x14ac:dyDescent="0.25">
      <c r="B58" s="14"/>
      <c r="C58" s="15"/>
      <c r="D58" s="63" t="s">
        <v>64</v>
      </c>
      <c r="E58" s="62" t="s">
        <v>101</v>
      </c>
      <c r="F58" s="44">
        <f>'[8]Banobras 1200'!$M$54</f>
        <v>828648000</v>
      </c>
      <c r="G58" s="44">
        <v>0</v>
      </c>
      <c r="H58" s="44">
        <v>0</v>
      </c>
      <c r="I58" s="20" t="s">
        <v>126</v>
      </c>
      <c r="K58" s="82" t="s">
        <v>129</v>
      </c>
      <c r="L58" s="183"/>
      <c r="M58" s="80">
        <f>'2017 Trimestre 1-Formato 2'!J49</f>
        <v>815254800</v>
      </c>
    </row>
    <row r="59" spans="2:13" x14ac:dyDescent="0.25">
      <c r="B59" s="14"/>
      <c r="C59" s="15"/>
      <c r="D59" s="63" t="s">
        <v>66</v>
      </c>
      <c r="E59" s="62" t="s">
        <v>102</v>
      </c>
      <c r="F59" s="44">
        <f>'[8]Banobras 1020'!$J$40</f>
        <v>722585340</v>
      </c>
      <c r="G59" s="44">
        <v>0</v>
      </c>
      <c r="H59" s="44">
        <v>0</v>
      </c>
      <c r="I59" s="20" t="s">
        <v>127</v>
      </c>
      <c r="K59" s="82" t="s">
        <v>128</v>
      </c>
      <c r="L59" s="183"/>
      <c r="M59" s="80">
        <f>'2017 Trimestre 1-Formato 2'!J50</f>
        <v>711572400</v>
      </c>
    </row>
    <row r="60" spans="2:13" x14ac:dyDescent="0.25">
      <c r="B60" s="14"/>
      <c r="C60" s="15"/>
      <c r="D60" s="63" t="s">
        <v>67</v>
      </c>
      <c r="E60" s="62" t="s">
        <v>103</v>
      </c>
      <c r="F60" s="44">
        <f>'[8]Banobras 636.92'!$I$42</f>
        <v>637014515</v>
      </c>
      <c r="G60" s="44">
        <v>0</v>
      </c>
      <c r="H60" s="44">
        <v>0</v>
      </c>
      <c r="I60" s="48">
        <f>IF(F60&gt;M60,(F60-M60)*-1,(F60-M60)*-1)</f>
        <v>-195969234.36000001</v>
      </c>
      <c r="K60" s="82" t="s">
        <v>130</v>
      </c>
      <c r="L60" s="183"/>
      <c r="M60" s="80">
        <f>'2017 Trimestre 1-Formato 2'!J51</f>
        <v>441045280.63999999</v>
      </c>
    </row>
    <row r="61" spans="2:13" x14ac:dyDescent="0.25">
      <c r="B61" s="14"/>
      <c r="C61" s="16"/>
      <c r="D61" s="47"/>
      <c r="E61" s="47"/>
      <c r="F61" s="44"/>
      <c r="G61" s="44"/>
      <c r="H61" s="44"/>
      <c r="I61" s="44"/>
      <c r="K61" s="44"/>
      <c r="L61" s="46"/>
      <c r="M61" s="80"/>
    </row>
    <row r="62" spans="2:13" x14ac:dyDescent="0.25">
      <c r="B62" s="7"/>
      <c r="C62" s="8"/>
      <c r="D62" s="9"/>
      <c r="E62" s="9"/>
      <c r="F62" s="22"/>
      <c r="G62" s="22"/>
      <c r="H62" s="22"/>
      <c r="I62" s="22"/>
      <c r="J62" s="22"/>
      <c r="K62" s="22"/>
      <c r="L62" s="23"/>
      <c r="M62" s="81"/>
    </row>
    <row r="63" spans="2:13" x14ac:dyDescent="0.25">
      <c r="B63" s="15"/>
      <c r="C63" s="15"/>
      <c r="D63" s="13"/>
      <c r="E63" s="13"/>
      <c r="F63" s="20"/>
      <c r="G63" s="20"/>
      <c r="H63" s="20"/>
      <c r="I63" s="20"/>
      <c r="J63" s="20"/>
      <c r="K63" s="20"/>
      <c r="L63" s="20"/>
    </row>
    <row r="64" spans="2:13" ht="20.25" customHeight="1" x14ac:dyDescent="0.25">
      <c r="B64" s="162" t="s">
        <v>23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</row>
    <row r="65" spans="2:12" ht="20.25" customHeight="1" x14ac:dyDescent="0.25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</row>
    <row r="66" spans="2:12" ht="20.25" customHeight="1" x14ac:dyDescent="0.25">
      <c r="B66" s="163" t="s">
        <v>22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</row>
    <row r="67" spans="2:12" ht="20.25" customHeight="1" x14ac:dyDescent="0.25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</row>
    <row r="68" spans="2:12" ht="20.25" customHeight="1" x14ac:dyDescent="0.25"/>
    <row r="69" spans="2:12" ht="20.25" customHeight="1" x14ac:dyDescent="0.25"/>
    <row r="70" spans="2:12" ht="20.25" customHeight="1" x14ac:dyDescent="0.25"/>
    <row r="71" spans="2:12" ht="20.25" customHeight="1" x14ac:dyDescent="0.25"/>
    <row r="72" spans="2:12" ht="20.25" customHeight="1" x14ac:dyDescent="0.25"/>
  </sheetData>
  <mergeCells count="9">
    <mergeCell ref="L57:L60"/>
    <mergeCell ref="B64:L65"/>
    <mergeCell ref="B66:L67"/>
    <mergeCell ref="B2:L2"/>
    <mergeCell ref="B3:L3"/>
    <mergeCell ref="B4:L4"/>
    <mergeCell ref="B5:L5"/>
    <mergeCell ref="B6:E6"/>
    <mergeCell ref="L12:L13"/>
  </mergeCells>
  <pageMargins left="0.62992125984251968" right="0.62992125984251968" top="0.74803149606299213" bottom="0.74803149606299213" header="0.31496062992125984" footer="0.31496062992125984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workbookViewId="0">
      <selection activeCell="E19" sqref="E19"/>
    </sheetView>
  </sheetViews>
  <sheetFormatPr baseColWidth="10" defaultRowHeight="15" x14ac:dyDescent="0.25"/>
  <cols>
    <col min="1" max="1" width="4.5703125" customWidth="1"/>
    <col min="2" max="2" width="3.7109375" customWidth="1"/>
    <col min="3" max="3" width="24.28515625" customWidth="1"/>
    <col min="4" max="4" width="19.7109375" customWidth="1"/>
    <col min="5" max="5" width="9.5703125" customWidth="1"/>
    <col min="6" max="7" width="7.28515625" customWidth="1"/>
    <col min="8" max="8" width="15" bestFit="1" customWidth="1"/>
    <col min="9" max="9" width="16.28515625" customWidth="1"/>
  </cols>
  <sheetData>
    <row r="1" spans="1:12" ht="14.45" x14ac:dyDescent="0.3">
      <c r="A1" s="90" t="s">
        <v>28</v>
      </c>
      <c r="B1" s="90"/>
      <c r="C1" s="91"/>
      <c r="D1" s="30"/>
      <c r="E1" s="30"/>
      <c r="F1" s="30"/>
      <c r="G1" s="30"/>
      <c r="H1" s="30"/>
      <c r="I1" s="30"/>
    </row>
    <row r="2" spans="1:12" ht="43.15" customHeight="1" x14ac:dyDescent="0.25">
      <c r="B2" s="177" t="s">
        <v>62</v>
      </c>
      <c r="C2" s="177"/>
      <c r="D2" s="178" t="s">
        <v>24</v>
      </c>
      <c r="E2" s="178" t="s">
        <v>145</v>
      </c>
      <c r="F2" s="185" t="s">
        <v>25</v>
      </c>
      <c r="G2" s="186"/>
      <c r="H2" s="178" t="s">
        <v>26</v>
      </c>
      <c r="I2" s="178" t="s">
        <v>27</v>
      </c>
    </row>
    <row r="3" spans="1:12" x14ac:dyDescent="0.25">
      <c r="B3" s="177"/>
      <c r="C3" s="177"/>
      <c r="D3" s="184"/>
      <c r="E3" s="184"/>
      <c r="F3" s="187"/>
      <c r="G3" s="188"/>
      <c r="H3" s="184"/>
      <c r="I3" s="184"/>
    </row>
    <row r="4" spans="1:12" s="1" customFormat="1" ht="31.15" customHeight="1" x14ac:dyDescent="0.25">
      <c r="B4" s="65" t="s">
        <v>64</v>
      </c>
      <c r="C4" s="68" t="s">
        <v>92</v>
      </c>
      <c r="D4" s="67">
        <v>500000000</v>
      </c>
      <c r="E4" s="65">
        <v>3</v>
      </c>
      <c r="F4" s="65" t="s">
        <v>88</v>
      </c>
      <c r="G4" s="66">
        <v>0.02</v>
      </c>
      <c r="H4" s="64">
        <v>5800000</v>
      </c>
      <c r="I4" s="69">
        <f>'[10]BBVA 500 marzo 2016'!$M$6</f>
        <v>7.8307256805305106E-2</v>
      </c>
    </row>
    <row r="5" spans="1:12" s="1" customFormat="1" ht="31.15" customHeight="1" x14ac:dyDescent="0.25">
      <c r="B5" s="65" t="s">
        <v>66</v>
      </c>
      <c r="C5" s="68" t="s">
        <v>58</v>
      </c>
      <c r="D5" s="67">
        <v>500000000</v>
      </c>
      <c r="E5" s="65">
        <v>5</v>
      </c>
      <c r="F5" s="65" t="s">
        <v>88</v>
      </c>
      <c r="G5" s="66">
        <v>2.5000000000000001E-2</v>
      </c>
      <c r="H5" s="64">
        <v>0</v>
      </c>
      <c r="I5" s="69">
        <f>'[10]HSBC 500 febrero 2016'!$M$6</f>
        <v>4.0855401195830768E-2</v>
      </c>
    </row>
    <row r="6" spans="1:12" s="121" customFormat="1" ht="31.15" customHeight="1" x14ac:dyDescent="0.3">
      <c r="B6" s="122" t="s">
        <v>67</v>
      </c>
      <c r="C6" s="140" t="s">
        <v>91</v>
      </c>
      <c r="D6" s="124">
        <v>1000000000</v>
      </c>
      <c r="E6" s="122">
        <v>3</v>
      </c>
      <c r="F6" s="122" t="s">
        <v>88</v>
      </c>
      <c r="G6" s="129">
        <v>0.03</v>
      </c>
      <c r="H6" s="130">
        <v>11600000</v>
      </c>
      <c r="I6" s="69">
        <f>'[10]Banorte $1000  Feb 2016'!$M$6</f>
        <v>5.1653956466718755E-2</v>
      </c>
      <c r="J6" s="139"/>
      <c r="K6" s="139"/>
      <c r="L6" s="139"/>
    </row>
    <row r="7" spans="1:12" s="121" customFormat="1" ht="31.15" customHeight="1" x14ac:dyDescent="0.3">
      <c r="B7" s="122" t="s">
        <v>72</v>
      </c>
      <c r="C7" s="123" t="s">
        <v>89</v>
      </c>
      <c r="D7" s="124">
        <f>'[10]Interacciones 2914 Abril 2016'!$G$6</f>
        <v>2913934381</v>
      </c>
      <c r="E7" s="125">
        <v>5</v>
      </c>
      <c r="F7" s="126" t="s">
        <v>88</v>
      </c>
      <c r="G7" s="127">
        <v>2.5000000000000001E-2</v>
      </c>
      <c r="H7" s="128">
        <v>185600000</v>
      </c>
      <c r="I7" s="70">
        <f>'[10]Interacciones 2914 Abril 2016'!$M$6</f>
        <v>0.17285508725696391</v>
      </c>
    </row>
    <row r="8" spans="1:12" s="121" customFormat="1" ht="31.15" customHeight="1" x14ac:dyDescent="0.3">
      <c r="B8" s="122" t="s">
        <v>73</v>
      </c>
      <c r="C8" s="123" t="s">
        <v>90</v>
      </c>
      <c r="D8" s="124">
        <v>1800000000</v>
      </c>
      <c r="E8" s="122">
        <v>12</v>
      </c>
      <c r="F8" s="122" t="s">
        <v>88</v>
      </c>
      <c r="G8" s="129">
        <v>1.2500000000000001E-2</v>
      </c>
      <c r="H8" s="130">
        <v>8352000</v>
      </c>
      <c r="I8" s="69">
        <v>6.7446887201818156E-2</v>
      </c>
    </row>
    <row r="9" spans="1:12" s="121" customFormat="1" ht="31.15" hidden="1" customHeight="1" x14ac:dyDescent="0.25">
      <c r="B9" s="122" t="s">
        <v>74</v>
      </c>
      <c r="C9" s="131"/>
      <c r="D9" s="124"/>
      <c r="E9" s="122"/>
      <c r="F9" s="122"/>
      <c r="G9" s="129"/>
      <c r="H9" s="130"/>
      <c r="I9" s="132"/>
    </row>
    <row r="10" spans="1:12" s="121" customFormat="1" ht="31.15" hidden="1" customHeight="1" x14ac:dyDescent="0.25">
      <c r="B10" s="122" t="s">
        <v>75</v>
      </c>
      <c r="C10" s="131"/>
      <c r="D10" s="124"/>
      <c r="E10" s="122"/>
      <c r="F10" s="122"/>
      <c r="G10" s="129"/>
      <c r="H10" s="130"/>
      <c r="I10" s="132"/>
    </row>
    <row r="11" spans="1:12" s="75" customFormat="1" ht="31.15" hidden="1" customHeight="1" x14ac:dyDescent="0.25">
      <c r="B11" s="133" t="s">
        <v>76</v>
      </c>
      <c r="C11" s="134"/>
      <c r="D11" s="135"/>
      <c r="E11" s="133"/>
      <c r="F11" s="133"/>
      <c r="G11" s="129"/>
      <c r="H11" s="130"/>
      <c r="I11" s="132"/>
    </row>
    <row r="12" spans="1:12" s="75" customFormat="1" hidden="1" x14ac:dyDescent="0.25">
      <c r="H12" s="136"/>
    </row>
    <row r="13" spans="1:12" s="75" customFormat="1" ht="14.45" x14ac:dyDescent="0.3"/>
    <row r="14" spans="1:12" s="75" customFormat="1" ht="14.45" x14ac:dyDescent="0.3"/>
    <row r="15" spans="1:12" s="75" customFormat="1" ht="14.45" x14ac:dyDescent="0.3"/>
    <row r="16" spans="1:12" s="75" customFormat="1" ht="14.45" x14ac:dyDescent="0.3"/>
    <row r="17" spans="8:9" s="75" customFormat="1" ht="14.45" x14ac:dyDescent="0.3"/>
    <row r="18" spans="8:9" s="75" customFormat="1" ht="14.45" x14ac:dyDescent="0.3"/>
    <row r="19" spans="8:9" s="75" customFormat="1" ht="14.45" x14ac:dyDescent="0.3"/>
    <row r="20" spans="8:9" s="75" customFormat="1" ht="14.45" x14ac:dyDescent="0.3"/>
    <row r="21" spans="8:9" s="75" customFormat="1" ht="14.45" x14ac:dyDescent="0.3"/>
    <row r="22" spans="8:9" s="75" customFormat="1" x14ac:dyDescent="0.25"/>
    <row r="23" spans="8:9" s="75" customFormat="1" x14ac:dyDescent="0.25"/>
    <row r="24" spans="8:9" s="75" customFormat="1" x14ac:dyDescent="0.25"/>
    <row r="25" spans="8:9" s="75" customFormat="1" x14ac:dyDescent="0.25">
      <c r="H25" s="137"/>
      <c r="I25" s="137"/>
    </row>
    <row r="26" spans="8:9" s="75" customFormat="1" x14ac:dyDescent="0.25"/>
    <row r="27" spans="8:9" s="75" customFormat="1" x14ac:dyDescent="0.25"/>
    <row r="28" spans="8:9" s="75" customFormat="1" x14ac:dyDescent="0.25"/>
    <row r="29" spans="8:9" s="75" customFormat="1" x14ac:dyDescent="0.25"/>
    <row r="30" spans="8:9" s="75" customFormat="1" x14ac:dyDescent="0.25"/>
    <row r="31" spans="8:9" s="75" customFormat="1" x14ac:dyDescent="0.25"/>
    <row r="32" spans="8:9" s="75" customFormat="1" x14ac:dyDescent="0.25"/>
    <row r="33" s="75" customFormat="1" x14ac:dyDescent="0.25"/>
    <row r="34" s="75" customFormat="1" x14ac:dyDescent="0.25"/>
    <row r="35" s="75" customFormat="1" x14ac:dyDescent="0.25"/>
    <row r="36" s="75" customFormat="1" x14ac:dyDescent="0.25"/>
    <row r="37" s="75" customFormat="1" x14ac:dyDescent="0.25"/>
    <row r="38" s="75" customFormat="1" x14ac:dyDescent="0.25"/>
    <row r="39" s="75" customFormat="1" x14ac:dyDescent="0.25"/>
    <row r="40" s="75" customFormat="1" x14ac:dyDescent="0.25"/>
    <row r="41" s="75" customFormat="1" x14ac:dyDescent="0.25"/>
    <row r="42" s="75" customFormat="1" x14ac:dyDescent="0.25"/>
    <row r="43" s="75" customFormat="1" x14ac:dyDescent="0.25"/>
    <row r="44" s="75" customFormat="1" x14ac:dyDescent="0.25"/>
    <row r="45" s="75" customFormat="1" x14ac:dyDescent="0.25"/>
    <row r="46" s="75" customFormat="1" x14ac:dyDescent="0.25"/>
    <row r="47" s="75" customFormat="1" x14ac:dyDescent="0.25"/>
    <row r="48" s="75" customFormat="1" x14ac:dyDescent="0.25"/>
    <row r="49" s="75" customFormat="1" x14ac:dyDescent="0.25"/>
    <row r="50" s="75" customFormat="1" x14ac:dyDescent="0.25"/>
    <row r="51" s="75" customFormat="1" x14ac:dyDescent="0.25"/>
    <row r="52" s="75" customFormat="1" x14ac:dyDescent="0.25"/>
    <row r="53" s="75" customFormat="1" x14ac:dyDescent="0.25"/>
    <row r="54" s="75" customFormat="1" x14ac:dyDescent="0.25"/>
    <row r="55" s="75" customFormat="1" x14ac:dyDescent="0.25"/>
    <row r="56" s="75" customFormat="1" x14ac:dyDescent="0.25"/>
    <row r="57" s="75" customFormat="1" x14ac:dyDescent="0.25"/>
    <row r="58" s="75" customFormat="1" x14ac:dyDescent="0.25"/>
    <row r="59" s="75" customFormat="1" x14ac:dyDescent="0.25"/>
    <row r="60" s="75" customFormat="1" x14ac:dyDescent="0.25"/>
    <row r="61" s="75" customFormat="1" x14ac:dyDescent="0.25"/>
    <row r="62" s="75" customFormat="1" x14ac:dyDescent="0.25"/>
    <row r="63" s="75" customFormat="1" x14ac:dyDescent="0.25"/>
  </sheetData>
  <mergeCells count="6">
    <mergeCell ref="I2:I3"/>
    <mergeCell ref="B2:C3"/>
    <mergeCell ref="D2:D3"/>
    <mergeCell ref="E2:E3"/>
    <mergeCell ref="F2:G3"/>
    <mergeCell ref="H2:H3"/>
  </mergeCells>
  <pageMargins left="0.7" right="0.7" top="0.75" bottom="0.75" header="0.3" footer="0.3"/>
  <pageSetup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="85" zoomScaleNormal="85" workbookViewId="0">
      <selection activeCell="D22" sqref="D22"/>
    </sheetView>
  </sheetViews>
  <sheetFormatPr baseColWidth="10" defaultRowHeight="15" x14ac:dyDescent="0.25"/>
  <cols>
    <col min="1" max="1" width="28.7109375" customWidth="1"/>
    <col min="2" max="9" width="19.85546875" customWidth="1"/>
  </cols>
  <sheetData>
    <row r="1" spans="1:9" ht="45" customHeight="1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x14ac:dyDescent="0.25">
      <c r="A2" s="190" t="s">
        <v>1</v>
      </c>
      <c r="B2" s="190"/>
      <c r="C2" s="190"/>
      <c r="D2" s="190"/>
      <c r="E2" s="190"/>
      <c r="F2" s="190"/>
      <c r="G2" s="190"/>
      <c r="H2" s="190"/>
      <c r="I2" s="190"/>
    </row>
    <row r="3" spans="1:9" x14ac:dyDescent="0.25">
      <c r="A3" s="190" t="s">
        <v>29</v>
      </c>
      <c r="B3" s="190"/>
      <c r="C3" s="190"/>
      <c r="D3" s="190"/>
      <c r="E3" s="190"/>
      <c r="F3" s="190"/>
      <c r="G3" s="190"/>
      <c r="H3" s="190"/>
      <c r="I3" s="190"/>
    </row>
    <row r="4" spans="1:9" x14ac:dyDescent="0.25">
      <c r="A4" s="190" t="s">
        <v>3</v>
      </c>
      <c r="B4" s="190"/>
      <c r="C4" s="190"/>
      <c r="D4" s="190"/>
      <c r="E4" s="190"/>
      <c r="F4" s="190"/>
      <c r="G4" s="190"/>
      <c r="H4" s="190"/>
      <c r="I4" s="190"/>
    </row>
    <row r="5" spans="1:9" x14ac:dyDescent="0.25">
      <c r="A5" s="190" t="s">
        <v>4</v>
      </c>
      <c r="B5" s="190"/>
      <c r="C5" s="190"/>
      <c r="D5" s="190"/>
      <c r="E5" s="190"/>
      <c r="F5" s="190"/>
      <c r="G5" s="190"/>
      <c r="H5" s="190"/>
      <c r="I5" s="190"/>
    </row>
    <row r="6" spans="1:9" ht="89.25" x14ac:dyDescent="0.25">
      <c r="A6" s="4" t="s">
        <v>30</v>
      </c>
      <c r="B6" s="4" t="s">
        <v>31</v>
      </c>
      <c r="C6" s="4" t="s">
        <v>38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</row>
    <row r="7" spans="1:9" ht="33.75" customHeight="1" x14ac:dyDescent="0.25">
      <c r="A7" s="3" t="s">
        <v>44</v>
      </c>
    </row>
    <row r="8" spans="1:9" x14ac:dyDescent="0.25">
      <c r="A8" s="2" t="s">
        <v>39</v>
      </c>
    </row>
    <row r="9" spans="1:9" x14ac:dyDescent="0.25">
      <c r="A9" s="2" t="s">
        <v>40</v>
      </c>
    </row>
    <row r="10" spans="1:9" x14ac:dyDescent="0.25">
      <c r="A10" s="2" t="s">
        <v>41</v>
      </c>
    </row>
    <row r="11" spans="1:9" x14ac:dyDescent="0.25">
      <c r="A11" s="2" t="s">
        <v>42</v>
      </c>
    </row>
    <row r="12" spans="1:9" ht="30.75" customHeight="1" x14ac:dyDescent="0.25">
      <c r="A12" s="3" t="s">
        <v>43</v>
      </c>
    </row>
    <row r="13" spans="1:9" x14ac:dyDescent="0.25">
      <c r="A13" s="2" t="s">
        <v>45</v>
      </c>
    </row>
    <row r="14" spans="1:9" x14ac:dyDescent="0.25">
      <c r="A14" s="2" t="s">
        <v>46</v>
      </c>
    </row>
    <row r="15" spans="1:9" x14ac:dyDescent="0.25">
      <c r="A15" s="2" t="s">
        <v>47</v>
      </c>
    </row>
    <row r="16" spans="1:9" x14ac:dyDescent="0.25">
      <c r="A16" s="2" t="s">
        <v>48</v>
      </c>
    </row>
    <row r="17" spans="1:1" ht="44.25" customHeight="1" x14ac:dyDescent="0.25">
      <c r="A17" s="3" t="s">
        <v>49</v>
      </c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Trimestre 1-Formato 2</vt:lpstr>
      <vt:lpstr>Trimestre 2-Formato 2</vt:lpstr>
      <vt:lpstr>Trimestre 3-Formato 2</vt:lpstr>
      <vt:lpstr>2017 Trimestre 1-Formato 2</vt:lpstr>
      <vt:lpstr>Formato 2  ANUAL</vt:lpstr>
      <vt:lpstr>Formato Cuentas</vt:lpstr>
      <vt:lpstr>CORTO PLAZO</vt:lpstr>
      <vt:lpstr>Formato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Denisse Ortega Aragon</dc:creator>
  <cp:lastModifiedBy>Manuel José Navarro Baca</cp:lastModifiedBy>
  <cp:lastPrinted>2017-05-08T21:05:03Z</cp:lastPrinted>
  <dcterms:created xsi:type="dcterms:W3CDTF">2016-10-20T14:21:00Z</dcterms:created>
  <dcterms:modified xsi:type="dcterms:W3CDTF">2017-05-09T19:47:28Z</dcterms:modified>
</cp:coreProperties>
</file>