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435"/>
  </bookViews>
  <sheets>
    <sheet name="Saldo Cero 2011 MARZO 2018" sheetId="1" r:id="rId1"/>
    <sheet name="Saldo Cero 2010 MARZO 2018" sheetId="2" r:id="rId2"/>
  </sheets>
  <definedNames>
    <definedName name="_xlnm.Print_Area" localSheetId="1">'Saldo Cero 2010 MARZO 2018'!$B$1:$M$59</definedName>
    <definedName name="_xlnm.Print_Area" localSheetId="0">'Saldo Cero 2011 MARZO 2018'!#REF!</definedName>
  </definedNames>
  <calcPr calcId="144525"/>
</workbook>
</file>

<file path=xl/calcChain.xml><?xml version="1.0" encoding="utf-8"?>
<calcChain xmlns="http://schemas.openxmlformats.org/spreadsheetml/2006/main">
  <c r="K66" i="1" l="1"/>
  <c r="K56" i="1"/>
  <c r="K56" i="2"/>
  <c r="K46" i="2" l="1"/>
  <c r="C67" i="1" l="1"/>
  <c r="C66" i="1"/>
  <c r="J65" i="1"/>
  <c r="F65" i="1"/>
  <c r="K55" i="2"/>
  <c r="J55" i="2"/>
  <c r="K31" i="2" l="1"/>
  <c r="J31" i="2"/>
  <c r="J41" i="1" l="1"/>
  <c r="F41" i="1"/>
  <c r="G55" i="2"/>
  <c r="F55" i="2"/>
  <c r="F34" i="2"/>
  <c r="J34" i="2"/>
  <c r="G31" i="2"/>
  <c r="F31" i="2"/>
  <c r="C14" i="2" l="1"/>
  <c r="D66" i="1" l="1"/>
  <c r="D67" i="1"/>
  <c r="D56" i="1"/>
  <c r="C10" i="1"/>
  <c r="D21" i="1"/>
  <c r="C21" i="1"/>
  <c r="C56" i="1"/>
  <c r="D65" i="1" l="1"/>
  <c r="C65" i="1"/>
  <c r="D10" i="1"/>
  <c r="C57" i="1"/>
  <c r="C13" i="1"/>
  <c r="D13" i="1"/>
  <c r="D55" i="2"/>
  <c r="D57" i="2"/>
  <c r="D18" i="2"/>
  <c r="C18" i="2"/>
  <c r="D47" i="2"/>
  <c r="C47" i="2"/>
  <c r="D14" i="2"/>
  <c r="D56" i="2"/>
  <c r="C55" i="2"/>
  <c r="C56" i="2"/>
  <c r="D46" i="2"/>
  <c r="C46" i="2"/>
  <c r="J14" i="2"/>
  <c r="K14" i="2"/>
  <c r="J9" i="2"/>
  <c r="J67" i="1"/>
  <c r="J66" i="1"/>
  <c r="K67" i="1"/>
  <c r="K18" i="1"/>
  <c r="K10" i="1"/>
  <c r="J10" i="1"/>
  <c r="D18" i="1"/>
  <c r="K46" i="1"/>
  <c r="D46" i="1"/>
  <c r="M66" i="1"/>
  <c r="K57" i="1"/>
  <c r="J57" i="1"/>
  <c r="L57" i="1"/>
  <c r="D57" i="1"/>
  <c r="E57" i="1"/>
  <c r="E66" i="1"/>
  <c r="M57" i="1"/>
  <c r="L66" i="1"/>
  <c r="J56" i="2"/>
  <c r="K18" i="2"/>
  <c r="J18" i="2"/>
  <c r="J18" i="1"/>
  <c r="K65" i="1"/>
  <c r="G65" i="1"/>
  <c r="K44" i="1"/>
  <c r="G44" i="1"/>
  <c r="K38" i="1"/>
  <c r="G38" i="1"/>
  <c r="D37" i="2"/>
  <c r="D20" i="2"/>
  <c r="C20" i="2"/>
  <c r="C18" i="1"/>
  <c r="C46" i="1"/>
  <c r="K47" i="2"/>
  <c r="J47" i="2"/>
  <c r="K44" i="2"/>
  <c r="J44" i="2"/>
  <c r="K43" i="2"/>
  <c r="J43" i="2"/>
  <c r="K50" i="2"/>
  <c r="J46" i="2"/>
  <c r="K37" i="2"/>
  <c r="J37" i="2"/>
  <c r="K32" i="2"/>
  <c r="J32" i="2"/>
  <c r="K27" i="2"/>
  <c r="K24" i="2"/>
  <c r="J21" i="2"/>
  <c r="K21" i="2"/>
  <c r="G21" i="2"/>
  <c r="K20" i="2"/>
  <c r="J20" i="2"/>
  <c r="K19" i="2"/>
  <c r="J19" i="2"/>
  <c r="G10" i="2"/>
  <c r="K10" i="2"/>
  <c r="J10" i="2"/>
  <c r="D50" i="2"/>
  <c r="D44" i="2"/>
  <c r="D43" i="2"/>
  <c r="C44" i="2"/>
  <c r="C43" i="2"/>
  <c r="C37" i="2"/>
  <c r="D24" i="2"/>
  <c r="D21" i="2"/>
  <c r="C21" i="2"/>
  <c r="D19" i="2"/>
  <c r="C19" i="2"/>
  <c r="D10" i="2"/>
  <c r="C10" i="2"/>
  <c r="G46" i="1"/>
  <c r="G30" i="1"/>
  <c r="K58" i="1"/>
  <c r="J58" i="1"/>
  <c r="J46" i="1"/>
  <c r="K41" i="1"/>
  <c r="K30" i="1"/>
  <c r="K29" i="1"/>
  <c r="K27" i="1"/>
  <c r="K25" i="1"/>
  <c r="J25" i="1"/>
  <c r="K23" i="1"/>
  <c r="J23" i="1"/>
  <c r="D58" i="1"/>
  <c r="D60" i="1"/>
  <c r="E60" i="1"/>
  <c r="C58" i="1"/>
  <c r="D29" i="1"/>
  <c r="D27" i="1"/>
  <c r="D25" i="1"/>
  <c r="C25" i="1"/>
  <c r="M28" i="2"/>
  <c r="L28" i="2"/>
  <c r="M12" i="2"/>
  <c r="L12" i="2"/>
  <c r="M11" i="2"/>
  <c r="L11" i="2"/>
  <c r="C29" i="2"/>
  <c r="E67" i="1"/>
  <c r="E65" i="1"/>
  <c r="E58" i="1"/>
  <c r="E56" i="1"/>
  <c r="E55" i="1" s="1"/>
  <c r="E50" i="1"/>
  <c r="E49" i="1"/>
  <c r="E48" i="1"/>
  <c r="E47" i="1"/>
  <c r="E46" i="1"/>
  <c r="E44" i="1"/>
  <c r="E43" i="1"/>
  <c r="E42" i="1"/>
  <c r="E41" i="1"/>
  <c r="E40" i="1"/>
  <c r="E39" i="1"/>
  <c r="E38" i="1"/>
  <c r="E37" i="1"/>
  <c r="E36" i="1"/>
  <c r="E35" i="1"/>
  <c r="E34" i="1"/>
  <c r="E33" i="1"/>
  <c r="E30" i="1"/>
  <c r="E29" i="1"/>
  <c r="E57" i="2"/>
  <c r="E56" i="2"/>
  <c r="E55" i="2"/>
  <c r="E50" i="2"/>
  <c r="E48" i="2"/>
  <c r="E47" i="2"/>
  <c r="E46" i="2"/>
  <c r="E44" i="2"/>
  <c r="E43" i="2"/>
  <c r="E42" i="2"/>
  <c r="E40" i="2"/>
  <c r="E39" i="2"/>
  <c r="E38" i="2"/>
  <c r="E37" i="2"/>
  <c r="E35" i="2"/>
  <c r="E34" i="2"/>
  <c r="E33" i="2"/>
  <c r="E32" i="2"/>
  <c r="E31" i="2"/>
  <c r="E30" i="2"/>
  <c r="E28" i="2"/>
  <c r="E27" i="2"/>
  <c r="E26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10" i="2"/>
  <c r="C59" i="1"/>
  <c r="D59" i="1"/>
  <c r="E59" i="1"/>
  <c r="F59" i="1"/>
  <c r="G59" i="1"/>
  <c r="H59" i="1"/>
  <c r="I59" i="1"/>
  <c r="J59" i="1"/>
  <c r="K59" i="1"/>
  <c r="P67" i="1"/>
  <c r="O67" i="1"/>
  <c r="P66" i="1"/>
  <c r="O66" i="1"/>
  <c r="P65" i="1"/>
  <c r="O65" i="1"/>
  <c r="P59" i="1"/>
  <c r="O59" i="1"/>
  <c r="P51" i="1"/>
  <c r="O51" i="1"/>
  <c r="K55" i="1"/>
  <c r="D55" i="1"/>
  <c r="F55" i="1"/>
  <c r="G55" i="1"/>
  <c r="H55" i="1"/>
  <c r="I55" i="1"/>
  <c r="J55" i="1"/>
  <c r="C55" i="1"/>
  <c r="D58" i="2"/>
  <c r="E58" i="2"/>
  <c r="F58" i="2"/>
  <c r="G58" i="2"/>
  <c r="H58" i="2"/>
  <c r="I58" i="2"/>
  <c r="J58" i="2"/>
  <c r="K58" i="2"/>
  <c r="C58" i="2"/>
  <c r="L55" i="2"/>
  <c r="L58" i="2" s="1"/>
  <c r="M57" i="2"/>
  <c r="L57" i="2"/>
  <c r="M56" i="2"/>
  <c r="L56" i="2"/>
  <c r="M55" i="2"/>
  <c r="M50" i="2"/>
  <c r="M49" i="2"/>
  <c r="L50" i="2"/>
  <c r="L49" i="2"/>
  <c r="M48" i="2"/>
  <c r="L48" i="2"/>
  <c r="M47" i="2"/>
  <c r="L47" i="2"/>
  <c r="M46" i="2"/>
  <c r="L46" i="2"/>
  <c r="M44" i="2"/>
  <c r="L44" i="2"/>
  <c r="M43" i="2"/>
  <c r="L43" i="2"/>
  <c r="M42" i="2"/>
  <c r="L42" i="2"/>
  <c r="M40" i="2"/>
  <c r="L40" i="2"/>
  <c r="M39" i="2"/>
  <c r="L39" i="2"/>
  <c r="M38" i="2"/>
  <c r="L38" i="2"/>
  <c r="M37" i="2"/>
  <c r="L37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7" i="2"/>
  <c r="L27" i="2"/>
  <c r="M26" i="2"/>
  <c r="L26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M9" i="2" s="1"/>
  <c r="L18" i="2"/>
  <c r="M17" i="2"/>
  <c r="L17" i="2"/>
  <c r="M16" i="2"/>
  <c r="L16" i="2"/>
  <c r="M15" i="2"/>
  <c r="L15" i="2"/>
  <c r="M14" i="2"/>
  <c r="L14" i="2"/>
  <c r="M13" i="2"/>
  <c r="L13" i="2"/>
  <c r="M10" i="2"/>
  <c r="L10" i="2"/>
  <c r="D49" i="2"/>
  <c r="E49" i="2"/>
  <c r="F49" i="2"/>
  <c r="G49" i="2"/>
  <c r="H49" i="2"/>
  <c r="I49" i="2"/>
  <c r="J49" i="2"/>
  <c r="K49" i="2"/>
  <c r="C49" i="2"/>
  <c r="C45" i="2"/>
  <c r="D45" i="2"/>
  <c r="E45" i="2"/>
  <c r="F45" i="2"/>
  <c r="G45" i="2"/>
  <c r="H45" i="2"/>
  <c r="I45" i="2"/>
  <c r="J45" i="2"/>
  <c r="K45" i="2"/>
  <c r="D41" i="2"/>
  <c r="E41" i="2"/>
  <c r="F41" i="2"/>
  <c r="G41" i="2"/>
  <c r="H41" i="2"/>
  <c r="I41" i="2"/>
  <c r="J41" i="2"/>
  <c r="K41" i="2"/>
  <c r="C41" i="2"/>
  <c r="C36" i="2"/>
  <c r="D36" i="2"/>
  <c r="E36" i="2"/>
  <c r="F36" i="2"/>
  <c r="G36" i="2"/>
  <c r="H36" i="2"/>
  <c r="I36" i="2"/>
  <c r="J36" i="2"/>
  <c r="K36" i="2"/>
  <c r="F29" i="2"/>
  <c r="G29" i="2"/>
  <c r="H29" i="2"/>
  <c r="I29" i="2"/>
  <c r="J29" i="2"/>
  <c r="K29" i="2"/>
  <c r="K51" i="2" s="1"/>
  <c r="K61" i="2" s="1"/>
  <c r="D29" i="2"/>
  <c r="D51" i="2" s="1"/>
  <c r="D61" i="2" s="1"/>
  <c r="D25" i="2"/>
  <c r="E25" i="2"/>
  <c r="F25" i="2"/>
  <c r="G25" i="2"/>
  <c r="H25" i="2"/>
  <c r="I25" i="2"/>
  <c r="I51" i="2"/>
  <c r="J25" i="2"/>
  <c r="K25" i="2"/>
  <c r="C25" i="2"/>
  <c r="C9" i="2"/>
  <c r="D9" i="2"/>
  <c r="E9" i="2"/>
  <c r="F9" i="2"/>
  <c r="G9" i="2"/>
  <c r="H9" i="2"/>
  <c r="I9" i="2"/>
  <c r="K9" i="2"/>
  <c r="M60" i="1"/>
  <c r="M59" i="1"/>
  <c r="L60" i="1"/>
  <c r="L59" i="1"/>
  <c r="M58" i="1"/>
  <c r="L58" i="1"/>
  <c r="M56" i="1"/>
  <c r="M55" i="1" s="1"/>
  <c r="L56" i="1"/>
  <c r="M54" i="1"/>
  <c r="L54" i="1"/>
  <c r="M53" i="1"/>
  <c r="L53" i="1"/>
  <c r="M52" i="1"/>
  <c r="L52" i="1"/>
  <c r="M50" i="1"/>
  <c r="L50" i="1"/>
  <c r="M49" i="1"/>
  <c r="L49" i="1"/>
  <c r="M48" i="1"/>
  <c r="L48" i="1"/>
  <c r="M47" i="1"/>
  <c r="L47" i="1"/>
  <c r="M46" i="1"/>
  <c r="L46" i="1"/>
  <c r="C45" i="1"/>
  <c r="D45" i="1"/>
  <c r="E45" i="1"/>
  <c r="F45" i="1"/>
  <c r="G45" i="1"/>
  <c r="H45" i="1"/>
  <c r="I45" i="1"/>
  <c r="J45" i="1"/>
  <c r="K45" i="1"/>
  <c r="C32" i="1"/>
  <c r="D32" i="1"/>
  <c r="E32" i="1"/>
  <c r="F32" i="1"/>
  <c r="G32" i="1"/>
  <c r="H32" i="1"/>
  <c r="I32" i="1"/>
  <c r="J32" i="1"/>
  <c r="J61" i="1" s="1"/>
  <c r="K32" i="1"/>
  <c r="M44" i="1"/>
  <c r="L44" i="1"/>
  <c r="M43" i="1"/>
  <c r="L43" i="1"/>
  <c r="M42" i="1"/>
  <c r="L42" i="1"/>
  <c r="M41" i="1"/>
  <c r="L41" i="1"/>
  <c r="L32" i="1" s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1" i="1"/>
  <c r="L31" i="1"/>
  <c r="M30" i="1"/>
  <c r="L30" i="1"/>
  <c r="M29" i="1"/>
  <c r="L29" i="1"/>
  <c r="M25" i="2"/>
  <c r="M45" i="1"/>
  <c r="I61" i="2"/>
  <c r="H51" i="2"/>
  <c r="H61" i="2"/>
  <c r="M41" i="2"/>
  <c r="L41" i="2"/>
  <c r="C51" i="2"/>
  <c r="C61" i="2" s="1"/>
  <c r="O32" i="1"/>
  <c r="M36" i="2"/>
  <c r="L45" i="1"/>
  <c r="L55" i="1"/>
  <c r="P55" i="1"/>
  <c r="P45" i="1"/>
  <c r="O45" i="1"/>
  <c r="M32" i="1"/>
  <c r="P32" i="1"/>
  <c r="M58" i="2"/>
  <c r="J51" i="2"/>
  <c r="M45" i="2"/>
  <c r="L45" i="2"/>
  <c r="L9" i="2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M9" i="1" s="1"/>
  <c r="L22" i="1"/>
  <c r="M22" i="1"/>
  <c r="L23" i="1"/>
  <c r="M23" i="1"/>
  <c r="L24" i="1"/>
  <c r="M24" i="1"/>
  <c r="L25" i="1"/>
  <c r="M25" i="1"/>
  <c r="L26" i="1"/>
  <c r="M26" i="1"/>
  <c r="L27" i="1"/>
  <c r="M27" i="1"/>
  <c r="M10" i="1"/>
  <c r="L10" i="1"/>
  <c r="D28" i="1"/>
  <c r="E28" i="1"/>
  <c r="F28" i="1"/>
  <c r="G28" i="1"/>
  <c r="H28" i="1"/>
  <c r="I28" i="1"/>
  <c r="J28" i="1"/>
  <c r="K28" i="1"/>
  <c r="L28" i="1"/>
  <c r="M28" i="1"/>
  <c r="C28" i="1"/>
  <c r="O28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0" i="1"/>
  <c r="C9" i="1"/>
  <c r="O9" i="1" s="1"/>
  <c r="D9" i="1"/>
  <c r="D61" i="1" s="1"/>
  <c r="F9" i="1"/>
  <c r="G9" i="1"/>
  <c r="H9" i="1"/>
  <c r="I9" i="1"/>
  <c r="L67" i="1"/>
  <c r="M67" i="1"/>
  <c r="M65" i="1"/>
  <c r="L65" i="1"/>
  <c r="C68" i="1"/>
  <c r="D68" i="1"/>
  <c r="P68" i="1" s="1"/>
  <c r="E68" i="1"/>
  <c r="F68" i="1"/>
  <c r="G68" i="1"/>
  <c r="H68" i="1"/>
  <c r="I68" i="1"/>
  <c r="J68" i="1"/>
  <c r="K68" i="1"/>
  <c r="J9" i="1"/>
  <c r="K9" i="1"/>
  <c r="H61" i="1"/>
  <c r="H69" i="1"/>
  <c r="I61" i="1"/>
  <c r="I69" i="1"/>
  <c r="P28" i="1"/>
  <c r="G61" i="1"/>
  <c r="P9" i="1"/>
  <c r="K61" i="1"/>
  <c r="K69" i="1" l="1"/>
  <c r="M61" i="1"/>
  <c r="O68" i="1"/>
  <c r="J69" i="1"/>
  <c r="F61" i="1"/>
  <c r="F69" i="1" s="1"/>
  <c r="J61" i="2"/>
  <c r="G51" i="2"/>
  <c r="G61" i="2" s="1"/>
  <c r="F51" i="2"/>
  <c r="F61" i="2" s="1"/>
  <c r="M29" i="2"/>
  <c r="M51" i="2" s="1"/>
  <c r="M61" i="2" s="1"/>
  <c r="E29" i="2"/>
  <c r="E51" i="2" s="1"/>
  <c r="E61" i="2" s="1"/>
  <c r="L29" i="2"/>
  <c r="L51" i="2" s="1"/>
  <c r="L61" i="2" s="1"/>
  <c r="M68" i="1"/>
  <c r="M69" i="1" s="1"/>
  <c r="G69" i="1"/>
  <c r="L68" i="1"/>
  <c r="L9" i="1"/>
  <c r="E9" i="1"/>
  <c r="E61" i="1" s="1"/>
  <c r="E69" i="1" s="1"/>
  <c r="P61" i="1"/>
  <c r="D69" i="1"/>
  <c r="L61" i="1"/>
  <c r="C61" i="1"/>
  <c r="C69" i="1" s="1"/>
  <c r="O55" i="1"/>
  <c r="L69" i="1" l="1"/>
  <c r="O61" i="1"/>
</calcChain>
</file>

<file path=xl/sharedStrings.xml><?xml version="1.0" encoding="utf-8"?>
<sst xmlns="http://schemas.openxmlformats.org/spreadsheetml/2006/main" count="178" uniqueCount="90">
  <si>
    <t>SISTEMA NACIONAL DE SEGURIDAD PÚBLICA</t>
  </si>
  <si>
    <t>AVANCE EN LA APLICACION DE LOS RECURSOS ASIGNADOS A LOS PROGRAMAS DE SEGURIDAD PUBLICA, 2011</t>
  </si>
  <si>
    <t xml:space="preserve">ENTIDAD FEDERATIVA: CHIHUAHUA </t>
  </si>
  <si>
    <t>ANEXO TÉCNICO / PROGRAMA</t>
  </si>
  <si>
    <t>CONVENIDO</t>
  </si>
  <si>
    <t>FINANCIAMIENTO CONJUNTO</t>
  </si>
  <si>
    <t>FEDERAL</t>
  </si>
  <si>
    <t>ESTATAL</t>
  </si>
  <si>
    <t>PRESUPUESTO CONVENIDO</t>
  </si>
  <si>
    <t>COMPROMETIDO</t>
  </si>
  <si>
    <t>DEVENGADO</t>
  </si>
  <si>
    <t>EJERCIDO</t>
  </si>
  <si>
    <t>SALDO</t>
  </si>
  <si>
    <t>TOTAL</t>
  </si>
  <si>
    <t>Alineación de las Capacidades del Estado Mexicano Contra la Delincuencia.</t>
  </si>
  <si>
    <t>Equipamiento  de Personal e Instalaciones de Seguridad Pública</t>
  </si>
  <si>
    <t>Reclutamiento y Selección</t>
  </si>
  <si>
    <t xml:space="preserve"> Formación Policial, Actualización y Capacitación Básica </t>
  </si>
  <si>
    <t>Equipamiento  de Personal e Instalaciones para el Centro de Evaluación y Control de Confianza</t>
  </si>
  <si>
    <t>Equipamiento  de Personal e Instalaciones para Centros de Capacitación de Cuerpos de Seguridad Pública</t>
  </si>
  <si>
    <t xml:space="preserve"> Capacitación Especializada</t>
  </si>
  <si>
    <t>Anexo Técnico del Programa de Construcción, Operación y Administración de la Academia Regional  de Seguridad Pública</t>
  </si>
  <si>
    <t>Fortalecimiento de las Academias y Centros Regionales, asi como de Institutos Estatales de Formación Policial en Materia de Seguridad Pública.</t>
  </si>
  <si>
    <t>Equipamiento  de Personal e Instalaciones para la Procuración de Justicia</t>
  </si>
  <si>
    <t>Equipamiento de Tribunales Superiores de Justicia para la Seguridad Pública en el Ámbito Penal</t>
  </si>
  <si>
    <t>Construcción, Mejoramiento o Ampliación de Instalaciones de Seguridad Pública</t>
  </si>
  <si>
    <t>Construcción, Mejoramiento o Ampliación de Centros de Capacitación de Seguridad Pública</t>
  </si>
  <si>
    <t>Construcción, Mejoramiento o Ampliación de Instalaciones para la Red Nacional de Telecomunicaciones, Sistema Nacional de Atención de Llamadas de Emergencia 066 y Sistema Nacional de Denuncia Anónima 089:  Plataforma México</t>
  </si>
  <si>
    <t>Infraestructura para la Procuración de Justicia</t>
  </si>
  <si>
    <t>Infraestructura de Apoyo a Tribunales Superiores de Justicia para la Seguridad Pública en el Ámbito Penal</t>
  </si>
  <si>
    <t>Construcción, Mejoramiento o Ampliación de Instalaciones para los Centros de Evaluación y Control de Confianza</t>
  </si>
  <si>
    <t>Programas de Procuración de Justicia</t>
  </si>
  <si>
    <t>Operativos Conjuntos</t>
  </si>
  <si>
    <t>Prevención del Delito y Participación Ciudadana</t>
  </si>
  <si>
    <t>Atención a la Demanda Ciudadana.</t>
  </si>
  <si>
    <t>Participación de la Comunidad.</t>
  </si>
  <si>
    <t>Adquisición de Equipos de Laboratorio para Investigación Criminalística</t>
  </si>
  <si>
    <t>Desarrollo Institucional</t>
  </si>
  <si>
    <t>Implementación del Servicio Profesional de Carrera</t>
  </si>
  <si>
    <t xml:space="preserve">Evaluación, Habilidades, Destrezas y Conocimientos Generales </t>
  </si>
  <si>
    <t>Evaluación de Control de Confianza</t>
  </si>
  <si>
    <t>Formación del Personal del Centro de Evaluación y Control de Confianza</t>
  </si>
  <si>
    <t>Formación Inicial y Actualización de Policías, Ministerios Públicos, Peritos y Custodios</t>
  </si>
  <si>
    <t>Operación</t>
  </si>
  <si>
    <t>Renivelación Académica</t>
  </si>
  <si>
    <t>Acervo Bibliográfico</t>
  </si>
  <si>
    <t>Formación Especializada</t>
  </si>
  <si>
    <t>Profesionalización del Personal  de Tribunales Superiores de Justicia en el Ámbito Penal</t>
  </si>
  <si>
    <t>Capacitación en Materia de Prevención del Delito</t>
  </si>
  <si>
    <t>Generación de Capacidades Básicas para la Prevención Social de la Violencia</t>
  </si>
  <si>
    <t>Sistema Penitenciario</t>
  </si>
  <si>
    <t xml:space="preserve">Equipamiento de Personal e Instalaciones para Centros de Readaptación Social </t>
  </si>
  <si>
    <t>Equipamiento de Personal e Instalaciones para Tutelares de Menores Infractores (Centros de Readaptación de Adolescentes en Conflicto con la Ley Penal)</t>
  </si>
  <si>
    <t>Construcción, Mejoramiento o Ampliación de Centros de Readaptación Social</t>
  </si>
  <si>
    <t>Construcción, Mejoramiento o Ampliación de Tutelares de Menores Infractores (Centros de Readaptación de Adolescentes en Conflicto con la Ley Penal)</t>
  </si>
  <si>
    <t>Sistema Nacional de Información Penitenciaria</t>
  </si>
  <si>
    <t>Combate a la Corrupción</t>
  </si>
  <si>
    <t>Capacitación y Actualización del Personal de los Centros de Control de Confianza</t>
  </si>
  <si>
    <t>Percepciones Extraordinarias</t>
  </si>
  <si>
    <t>Indemnizaciones</t>
  </si>
  <si>
    <t>Plataforma México</t>
  </si>
  <si>
    <t>Red Nacional de Telecomunicaciones</t>
  </si>
  <si>
    <t>Sistema Nacional de Información.</t>
  </si>
  <si>
    <t>Registro Publico Vehicular</t>
  </si>
  <si>
    <t>Indicadores de Medición</t>
  </si>
  <si>
    <t>Programas de Seguimiento y Evaluación</t>
  </si>
  <si>
    <t>T O T A L E S</t>
  </si>
  <si>
    <t>Digito de Gasto 1: Gasto Corriente</t>
  </si>
  <si>
    <t>Digito de Gasto 2: Inversión diferente de Obra Pública</t>
  </si>
  <si>
    <t>Digito de Gasto 3: Obra Pública</t>
  </si>
  <si>
    <t>Total</t>
  </si>
  <si>
    <t>AVANCE EN LA APLICACION DE LOS RECURSOS ASIGNADOS A LOS PROGRAMAS DE SEGURIDAD PUBLICA, 2010</t>
  </si>
  <si>
    <t>ENTIDAD FEDERATIVA: CHIHUAHUA</t>
  </si>
  <si>
    <t>Evaluación y Depuración de Corporaciones Policiales</t>
  </si>
  <si>
    <t>Equipamiento para la Seguridad Pública.</t>
  </si>
  <si>
    <t>Equipamiento para la Procuración de Justicia.</t>
  </si>
  <si>
    <t>Equipamiento para Tribunales Superiores de Justicia.</t>
  </si>
  <si>
    <t>Infraestructura para la Seguridad Pública.</t>
  </si>
  <si>
    <t>Infraestructura para la Procuración de Justicia.</t>
  </si>
  <si>
    <t>Infraestructura para Tribunales Superiores de Justicia.</t>
  </si>
  <si>
    <r>
      <t xml:space="preserve">Programas de Procuración de Justicia. </t>
    </r>
    <r>
      <rPr>
        <b/>
        <sz val="36"/>
        <rFont val="Arial"/>
        <family val="2"/>
      </rPr>
      <t>(Abatimiento de Rezagos).</t>
    </r>
  </si>
  <si>
    <t>Operativos Conjuntos.</t>
  </si>
  <si>
    <t>Nuevo Modelo Policial</t>
  </si>
  <si>
    <t>Formación y Capacitación</t>
  </si>
  <si>
    <t>Construcción, Mejoramiento o Ampliación de las Coordinaciones Estatales de la Policía Federal</t>
  </si>
  <si>
    <t>Sistema de Información de Administración Penitenciaria (SIAP)</t>
  </si>
  <si>
    <t>Aplicación de los Procedimientos del Servicio Nacional de Carrera</t>
  </si>
  <si>
    <t>Creación y Fortalecimiento del Centro de Control y Confianza</t>
  </si>
  <si>
    <t>(CORTE AL 31 DE MARZO 2018) 
(PESOS)</t>
  </si>
  <si>
    <t>(CORTE AL 31 DE MARZO DEL 2018) 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</si>
</sst>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_ ;\-0\ "/>
    <numFmt numFmtId="166" formatCode="00"/>
    <numFmt numFmtId="167" formatCode="#,##0.0"/>
    <numFmt numFmtId="168" formatCode="_-* #,##0.00_-;\-* #,##0.0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36"/>
      <name val="Arial"/>
      <family val="2"/>
    </font>
    <font>
      <b/>
      <sz val="36"/>
      <color indexed="18"/>
      <name val="Arial"/>
      <family val="2"/>
    </font>
    <font>
      <sz val="36"/>
      <name val="Arial"/>
      <family val="2"/>
    </font>
    <font>
      <b/>
      <sz val="36"/>
      <color indexed="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41" fontId="3" fillId="0" borderId="0" xfId="2" applyNumberFormat="1" applyFont="1" applyFill="1" applyBorder="1" applyAlignment="1">
      <alignment horizontal="center" vertical="center" wrapText="1"/>
    </xf>
    <xf numFmtId="41" fontId="4" fillId="2" borderId="6" xfId="2" applyNumberFormat="1" applyFont="1" applyFill="1" applyBorder="1" applyAlignment="1">
      <alignment horizontal="center" vertical="center" wrapText="1"/>
    </xf>
    <xf numFmtId="41" fontId="4" fillId="2" borderId="7" xfId="2" applyNumberFormat="1" applyFont="1" applyFill="1" applyBorder="1" applyAlignment="1">
      <alignment horizontal="center" vertical="center" wrapText="1"/>
    </xf>
    <xf numFmtId="166" fontId="3" fillId="3" borderId="5" xfId="2" applyNumberFormat="1" applyFont="1" applyFill="1" applyBorder="1" applyAlignment="1">
      <alignment horizontal="left" vertical="center" wrapText="1" indent="1"/>
    </xf>
    <xf numFmtId="166" fontId="3" fillId="3" borderId="6" xfId="2" applyNumberFormat="1" applyFont="1" applyFill="1" applyBorder="1" applyAlignment="1">
      <alignment horizontal="left" vertical="center" wrapText="1" indent="1"/>
    </xf>
    <xf numFmtId="4" fontId="3" fillId="3" borderId="7" xfId="2" applyNumberFormat="1" applyFont="1" applyFill="1" applyBorder="1" applyAlignment="1">
      <alignment horizontal="center" vertical="center"/>
    </xf>
    <xf numFmtId="0" fontId="3" fillId="4" borderId="0" xfId="2" applyFont="1" applyFill="1" applyAlignment="1">
      <alignment horizontal="center" vertical="center"/>
    </xf>
    <xf numFmtId="4" fontId="3" fillId="3" borderId="7" xfId="2" applyNumberFormat="1" applyFont="1" applyFill="1" applyBorder="1" applyAlignment="1">
      <alignment horizontal="right" vertical="center"/>
    </xf>
    <xf numFmtId="0" fontId="5" fillId="4" borderId="0" xfId="2" applyFont="1" applyFill="1" applyAlignment="1">
      <alignment horizontal="right" vertical="center"/>
    </xf>
    <xf numFmtId="41" fontId="5" fillId="0" borderId="5" xfId="2" applyNumberFormat="1" applyFont="1" applyBorder="1" applyAlignment="1">
      <alignment horizontal="left" vertical="center" wrapText="1"/>
    </xf>
    <xf numFmtId="4" fontId="5" fillId="0" borderId="7" xfId="2" applyNumberFormat="1" applyFont="1" applyFill="1" applyBorder="1" applyAlignment="1">
      <alignment horizontal="right" vertical="center" wrapText="1"/>
    </xf>
    <xf numFmtId="4" fontId="5" fillId="0" borderId="7" xfId="2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right" vertical="center"/>
    </xf>
    <xf numFmtId="0" fontId="5" fillId="0" borderId="0" xfId="2" applyFont="1" applyAlignment="1">
      <alignment horizontal="right" vertical="center"/>
    </xf>
    <xf numFmtId="4" fontId="5" fillId="0" borderId="7" xfId="2" applyNumberFormat="1" applyFont="1" applyBorder="1" applyAlignment="1">
      <alignment horizontal="right" vertical="center"/>
    </xf>
    <xf numFmtId="41" fontId="3" fillId="3" borderId="5" xfId="2" applyNumberFormat="1" applyFont="1" applyFill="1" applyBorder="1" applyAlignment="1">
      <alignment horizontal="left" vertical="center" indent="1"/>
    </xf>
    <xf numFmtId="0" fontId="6" fillId="0" borderId="0" xfId="2" applyFont="1" applyAlignment="1">
      <alignment horizontal="center" vertical="center"/>
    </xf>
    <xf numFmtId="41" fontId="6" fillId="5" borderId="8" xfId="2" applyNumberFormat="1" applyFont="1" applyFill="1" applyBorder="1" applyAlignment="1">
      <alignment horizontal="center" vertical="center" wrapText="1"/>
    </xf>
    <xf numFmtId="4" fontId="6" fillId="5" borderId="9" xfId="2" applyNumberFormat="1" applyFont="1" applyFill="1" applyBorder="1" applyAlignment="1">
      <alignment horizontal="right" vertical="center" wrapText="1"/>
    </xf>
    <xf numFmtId="0" fontId="6" fillId="0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43" fontId="3" fillId="0" borderId="0" xfId="1" applyFont="1" applyAlignment="1">
      <alignment horizontal="center" vertical="center"/>
    </xf>
    <xf numFmtId="43" fontId="3" fillId="0" borderId="0" xfId="1" applyFont="1" applyBorder="1" applyAlignment="1">
      <alignment horizontal="left" vertical="center" wrapText="1"/>
    </xf>
    <xf numFmtId="43" fontId="5" fillId="0" borderId="0" xfId="1" applyFont="1" applyFill="1" applyAlignment="1">
      <alignment vertical="center"/>
    </xf>
    <xf numFmtId="43" fontId="5" fillId="0" borderId="0" xfId="1" applyFont="1" applyAlignment="1">
      <alignment vertical="center"/>
    </xf>
    <xf numFmtId="0" fontId="3" fillId="0" borderId="0" xfId="2" applyFont="1" applyAlignment="1">
      <alignment vertical="center"/>
    </xf>
    <xf numFmtId="4" fontId="3" fillId="3" borderId="1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4" fontId="3" fillId="0" borderId="4" xfId="2" applyNumberFormat="1" applyFont="1" applyFill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4" fontId="3" fillId="0" borderId="7" xfId="2" applyNumberFormat="1" applyFont="1" applyFill="1" applyBorder="1" applyAlignment="1">
      <alignment vertical="center" wrapText="1"/>
    </xf>
    <xf numFmtId="0" fontId="3" fillId="5" borderId="8" xfId="2" applyFont="1" applyFill="1" applyBorder="1" applyAlignment="1">
      <alignment horizontal="center" vertical="center"/>
    </xf>
    <xf numFmtId="4" fontId="3" fillId="5" borderId="9" xfId="2" applyNumberFormat="1" applyFont="1" applyFill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41" fontId="7" fillId="0" borderId="0" xfId="2" applyNumberFormat="1" applyFont="1" applyFill="1" applyBorder="1" applyAlignment="1">
      <alignment horizontal="center" vertical="center" wrapText="1"/>
    </xf>
    <xf numFmtId="41" fontId="8" fillId="2" borderId="6" xfId="2" applyNumberFormat="1" applyFont="1" applyFill="1" applyBorder="1" applyAlignment="1">
      <alignment horizontal="center" vertical="center" wrapText="1"/>
    </xf>
    <xf numFmtId="166" fontId="7" fillId="3" borderId="5" xfId="2" applyNumberFormat="1" applyFont="1" applyFill="1" applyBorder="1" applyAlignment="1">
      <alignment horizontal="left" vertical="center" wrapText="1" indent="1"/>
    </xf>
    <xf numFmtId="166" fontId="7" fillId="3" borderId="6" xfId="2" applyNumberFormat="1" applyFont="1" applyFill="1" applyBorder="1" applyAlignment="1">
      <alignment horizontal="left" vertical="center" wrapText="1" indent="1"/>
    </xf>
    <xf numFmtId="4" fontId="7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4" fontId="7" fillId="3" borderId="7" xfId="2" applyNumberFormat="1" applyFont="1" applyFill="1" applyBorder="1" applyAlignment="1">
      <alignment horizontal="right" vertical="center"/>
    </xf>
    <xf numFmtId="0" fontId="9" fillId="4" borderId="0" xfId="2" applyFont="1" applyFill="1" applyAlignment="1">
      <alignment horizontal="right" vertical="center"/>
    </xf>
    <xf numFmtId="41" fontId="9" fillId="0" borderId="5" xfId="2" applyNumberFormat="1" applyFont="1" applyBorder="1" applyAlignment="1">
      <alignment horizontal="left" vertical="center" wrapText="1" indent="2"/>
    </xf>
    <xf numFmtId="41" fontId="9" fillId="0" borderId="6" xfId="2" applyNumberFormat="1" applyFont="1" applyBorder="1" applyAlignment="1">
      <alignment horizontal="left" vertical="center" wrapText="1" indent="2"/>
    </xf>
    <xf numFmtId="4" fontId="9" fillId="0" borderId="7" xfId="2" applyNumberFormat="1" applyFont="1" applyFill="1" applyBorder="1" applyAlignment="1">
      <alignment horizontal="right" vertical="center" wrapText="1"/>
    </xf>
    <xf numFmtId="0" fontId="9" fillId="0" borderId="0" xfId="2" applyFont="1" applyAlignment="1">
      <alignment horizontal="right" vertical="center"/>
    </xf>
    <xf numFmtId="41" fontId="9" fillId="0" borderId="5" xfId="2" applyNumberFormat="1" applyFont="1" applyFill="1" applyBorder="1" applyAlignment="1">
      <alignment horizontal="left" vertical="center" wrapText="1" indent="2"/>
    </xf>
    <xf numFmtId="41" fontId="9" fillId="0" borderId="5" xfId="2" applyNumberFormat="1" applyFont="1" applyBorder="1" applyAlignment="1">
      <alignment horizontal="left" vertical="center" wrapText="1"/>
    </xf>
    <xf numFmtId="41" fontId="7" fillId="3" borderId="5" xfId="2" applyNumberFormat="1" applyFont="1" applyFill="1" applyBorder="1" applyAlignment="1">
      <alignment horizontal="left" vertical="center" indent="1"/>
    </xf>
    <xf numFmtId="0" fontId="9" fillId="0" borderId="5" xfId="2" applyFont="1" applyFill="1" applyBorder="1" applyAlignment="1">
      <alignment horizontal="left" vertical="center" wrapText="1" indent="2"/>
    </xf>
    <xf numFmtId="0" fontId="10" fillId="0" borderId="0" xfId="2" applyFont="1" applyAlignment="1">
      <alignment horizontal="center" vertical="center"/>
    </xf>
    <xf numFmtId="41" fontId="10" fillId="5" borderId="8" xfId="2" applyNumberFormat="1" applyFont="1" applyFill="1" applyBorder="1" applyAlignment="1">
      <alignment horizontal="center" vertical="center" wrapText="1"/>
    </xf>
    <xf numFmtId="4" fontId="10" fillId="5" borderId="9" xfId="2" applyNumberFormat="1" applyFont="1" applyFill="1" applyBorder="1" applyAlignment="1">
      <alignment horizontal="right" vertical="center" wrapText="1"/>
    </xf>
    <xf numFmtId="0" fontId="10" fillId="0" borderId="0" xfId="2" applyFont="1" applyAlignment="1">
      <alignment vertical="center"/>
    </xf>
    <xf numFmtId="43" fontId="7" fillId="0" borderId="0" xfId="4" applyFont="1" applyAlignment="1">
      <alignment horizontal="center" vertical="center"/>
    </xf>
    <xf numFmtId="43" fontId="7" fillId="0" borderId="0" xfId="4" applyFont="1" applyBorder="1" applyAlignment="1">
      <alignment horizontal="left" vertical="center" wrapText="1"/>
    </xf>
    <xf numFmtId="43" fontId="9" fillId="0" borderId="0" xfId="4" applyFont="1" applyAlignment="1">
      <alignment vertical="center"/>
    </xf>
    <xf numFmtId="0" fontId="7" fillId="0" borderId="0" xfId="2" applyFont="1" applyAlignment="1">
      <alignment vertical="center"/>
    </xf>
    <xf numFmtId="4" fontId="7" fillId="3" borderId="10" xfId="2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vertical="center" wrapText="1"/>
    </xf>
    <xf numFmtId="4" fontId="7" fillId="0" borderId="4" xfId="2" applyNumberFormat="1" applyFont="1" applyFill="1" applyBorder="1" applyAlignment="1">
      <alignment vertical="center" wrapText="1"/>
    </xf>
    <xf numFmtId="0" fontId="7" fillId="0" borderId="5" xfId="2" applyFont="1" applyBorder="1" applyAlignment="1">
      <alignment vertical="center" wrapText="1"/>
    </xf>
    <xf numFmtId="4" fontId="7" fillId="0" borderId="7" xfId="2" applyNumberFormat="1" applyFont="1" applyFill="1" applyBorder="1" applyAlignment="1">
      <alignment vertical="center" wrapText="1"/>
    </xf>
    <xf numFmtId="0" fontId="7" fillId="5" borderId="8" xfId="2" applyFont="1" applyFill="1" applyBorder="1" applyAlignment="1">
      <alignment horizontal="center" vertical="center"/>
    </xf>
    <xf numFmtId="4" fontId="7" fillId="5" borderId="9" xfId="2" applyNumberFormat="1" applyFont="1" applyFill="1" applyBorder="1" applyAlignment="1">
      <alignment vertical="center"/>
    </xf>
    <xf numFmtId="4" fontId="9" fillId="0" borderId="0" xfId="2" applyNumberFormat="1" applyFont="1" applyAlignment="1">
      <alignment vertical="center"/>
    </xf>
    <xf numFmtId="167" fontId="9" fillId="0" borderId="0" xfId="2" applyNumberFormat="1" applyFont="1" applyAlignment="1">
      <alignment vertical="center"/>
    </xf>
    <xf numFmtId="41" fontId="8" fillId="2" borderId="7" xfId="2" applyNumberFormat="1" applyFont="1" applyFill="1" applyBorder="1" applyAlignment="1">
      <alignment horizontal="center" vertical="center" wrapText="1"/>
    </xf>
    <xf numFmtId="4" fontId="5" fillId="0" borderId="0" xfId="2" applyNumberFormat="1" applyFont="1" applyAlignment="1">
      <alignment vertical="center"/>
    </xf>
    <xf numFmtId="43" fontId="5" fillId="0" borderId="0" xfId="2" applyNumberFormat="1" applyFont="1" applyAlignment="1">
      <alignment vertical="center"/>
    </xf>
    <xf numFmtId="43" fontId="7" fillId="0" borderId="3" xfId="13" applyNumberFormat="1" applyFont="1" applyBorder="1" applyAlignment="1">
      <alignment vertical="center" wrapText="1"/>
    </xf>
    <xf numFmtId="43" fontId="7" fillId="0" borderId="6" xfId="13" applyNumberFormat="1" applyFont="1" applyBorder="1" applyAlignment="1">
      <alignment vertical="center" wrapText="1"/>
    </xf>
    <xf numFmtId="43" fontId="7" fillId="0" borderId="6" xfId="2" applyNumberFormat="1" applyFont="1" applyBorder="1" applyAlignment="1">
      <alignment vertical="center" wrapText="1"/>
    </xf>
    <xf numFmtId="168" fontId="9" fillId="0" borderId="6" xfId="2" applyNumberFormat="1" applyFont="1" applyBorder="1" applyAlignment="1">
      <alignment horizontal="left" vertical="center" wrapText="1" indent="2"/>
    </xf>
    <xf numFmtId="168" fontId="7" fillId="3" borderId="7" xfId="2" applyNumberFormat="1" applyFont="1" applyFill="1" applyBorder="1" applyAlignment="1">
      <alignment horizontal="right" vertical="center"/>
    </xf>
    <xf numFmtId="168" fontId="10" fillId="5" borderId="9" xfId="2" applyNumberFormat="1" applyFont="1" applyFill="1" applyBorder="1" applyAlignment="1">
      <alignment horizontal="right" vertical="center" wrapText="1"/>
    </xf>
    <xf numFmtId="43" fontId="9" fillId="0" borderId="0" xfId="1" applyFont="1" applyAlignment="1">
      <alignment vertical="center"/>
    </xf>
    <xf numFmtId="43" fontId="9" fillId="0" borderId="0" xfId="2" applyNumberFormat="1" applyFont="1" applyAlignment="1">
      <alignment vertical="center"/>
    </xf>
    <xf numFmtId="41" fontId="4" fillId="0" borderId="0" xfId="2" applyNumberFormat="1" applyFont="1" applyFill="1" applyBorder="1" applyAlignment="1">
      <alignment horizontal="center" vertical="center" wrapText="1"/>
    </xf>
    <xf numFmtId="41" fontId="4" fillId="2" borderId="1" xfId="2" applyNumberFormat="1" applyFont="1" applyFill="1" applyBorder="1" applyAlignment="1">
      <alignment horizontal="center" vertical="center" wrapText="1"/>
    </xf>
    <xf numFmtId="41" fontId="4" fillId="2" borderId="5" xfId="2" applyNumberFormat="1" applyFont="1" applyFill="1" applyBorder="1" applyAlignment="1">
      <alignment horizontal="center" vertical="center" wrapText="1"/>
    </xf>
    <xf numFmtId="41" fontId="4" fillId="2" borderId="2" xfId="2" applyNumberFormat="1" applyFont="1" applyFill="1" applyBorder="1" applyAlignment="1">
      <alignment horizontal="center" vertical="center" wrapText="1"/>
    </xf>
    <xf numFmtId="41" fontId="4" fillId="2" borderId="3" xfId="2" applyNumberFormat="1" applyFont="1" applyFill="1" applyBorder="1" applyAlignment="1">
      <alignment horizontal="center" vertical="center" wrapText="1"/>
    </xf>
    <xf numFmtId="165" fontId="4" fillId="2" borderId="4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 vertical="center"/>
    </xf>
    <xf numFmtId="41" fontId="4" fillId="2" borderId="7" xfId="2" applyNumberFormat="1" applyFont="1" applyFill="1" applyBorder="1" applyAlignment="1">
      <alignment horizontal="center" vertical="center" wrapText="1"/>
    </xf>
    <xf numFmtId="41" fontId="8" fillId="0" borderId="0" xfId="2" applyNumberFormat="1" applyFont="1" applyFill="1" applyBorder="1" applyAlignment="1">
      <alignment horizontal="center" vertical="center" wrapText="1"/>
    </xf>
    <xf numFmtId="41" fontId="8" fillId="2" borderId="1" xfId="2" applyNumberFormat="1" applyFont="1" applyFill="1" applyBorder="1" applyAlignment="1">
      <alignment horizontal="center" vertical="center" wrapText="1"/>
    </xf>
    <xf numFmtId="41" fontId="8" fillId="2" borderId="5" xfId="2" applyNumberFormat="1" applyFont="1" applyFill="1" applyBorder="1" applyAlignment="1">
      <alignment horizontal="center" vertical="center" wrapText="1"/>
    </xf>
    <xf numFmtId="41" fontId="8" fillId="2" borderId="2" xfId="2" applyNumberFormat="1" applyFont="1" applyFill="1" applyBorder="1" applyAlignment="1">
      <alignment horizontal="center" vertical="center" wrapText="1"/>
    </xf>
    <xf numFmtId="41" fontId="8" fillId="2" borderId="3" xfId="2" applyNumberFormat="1" applyFont="1" applyFill="1" applyBorder="1" applyAlignment="1">
      <alignment horizontal="center" vertical="center" wrapText="1"/>
    </xf>
    <xf numFmtId="165" fontId="8" fillId="2" borderId="4" xfId="2" applyNumberFormat="1" applyFont="1" applyFill="1" applyBorder="1" applyAlignment="1">
      <alignment horizontal="center" vertical="center" wrapText="1"/>
    </xf>
    <xf numFmtId="164" fontId="8" fillId="0" borderId="0" xfId="2" applyNumberFormat="1" applyFont="1" applyBorder="1" applyAlignment="1">
      <alignment horizontal="center" vertical="center" wrapText="1"/>
    </xf>
    <xf numFmtId="164" fontId="8" fillId="0" borderId="0" xfId="2" applyNumberFormat="1" applyFont="1" applyBorder="1" applyAlignment="1">
      <alignment horizontal="center" vertical="center"/>
    </xf>
    <xf numFmtId="41" fontId="8" fillId="2" borderId="7" xfId="2" applyNumberFormat="1" applyFont="1" applyFill="1" applyBorder="1" applyAlignment="1">
      <alignment horizontal="center" vertical="center" wrapText="1"/>
    </xf>
  </cellXfs>
  <cellStyles count="14">
    <cellStyle name="Millares" xfId="1" builtinId="3"/>
    <cellStyle name="Millares 2" xfId="3"/>
    <cellStyle name="Millares 3" xfId="4"/>
    <cellStyle name="Millares 3 2" xfId="5"/>
    <cellStyle name="Millares 3 3" xfId="13"/>
    <cellStyle name="Millares 4" xfId="6"/>
    <cellStyle name="Moneda 2" xfId="7"/>
    <cellStyle name="Normal" xfId="0" builtinId="0"/>
    <cellStyle name="Normal 2" xfId="2"/>
    <cellStyle name="Normal 3" xfId="8"/>
    <cellStyle name="Normal 3 2" xfId="9"/>
    <cellStyle name="Normal 4" xfId="10"/>
    <cellStyle name="Normal 5" xfId="11"/>
    <cellStyle name="Porcentual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O84"/>
  <sheetViews>
    <sheetView showGridLines="0" tabSelected="1" zoomScaleNormal="100" zoomScaleSheetLayoutView="25" workbookViewId="0">
      <pane ySplit="2580" topLeftCell="A47" activePane="bottomLeft"/>
      <selection activeCell="G9" sqref="G9"/>
      <selection pane="bottomLeft" activeCell="L56" sqref="L56:M56"/>
    </sheetView>
  </sheetViews>
  <sheetFormatPr baseColWidth="10" defaultRowHeight="12" x14ac:dyDescent="0.25"/>
  <cols>
    <col min="1" max="1" width="5.42578125" style="1" bestFit="1" customWidth="1"/>
    <col min="2" max="2" width="49.28515625" style="3" customWidth="1"/>
    <col min="3" max="13" width="15.140625" style="3" customWidth="1"/>
    <col min="14" max="14" width="2.140625" style="2" customWidth="1"/>
    <col min="15" max="16" width="12.28515625" style="3" hidden="1" customWidth="1"/>
    <col min="17" max="200" width="11.42578125" style="3"/>
    <col min="201" max="201" width="255.7109375" style="3" customWidth="1"/>
    <col min="202" max="203" width="89.42578125" style="3" customWidth="1"/>
    <col min="204" max="204" width="75.7109375" style="3" customWidth="1"/>
    <col min="205" max="212" width="60.7109375" style="3" customWidth="1"/>
    <col min="213" max="213" width="35.85546875" style="3" customWidth="1"/>
    <col min="214" max="214" width="11.42578125" style="3"/>
    <col min="215" max="215" width="30.5703125" style="3" customWidth="1"/>
    <col min="216" max="456" width="11.42578125" style="3"/>
    <col min="457" max="457" width="255.7109375" style="3" customWidth="1"/>
    <col min="458" max="459" width="89.42578125" style="3" customWidth="1"/>
    <col min="460" max="460" width="75.7109375" style="3" customWidth="1"/>
    <col min="461" max="468" width="60.7109375" style="3" customWidth="1"/>
    <col min="469" max="469" width="35.85546875" style="3" customWidth="1"/>
    <col min="470" max="470" width="11.42578125" style="3"/>
    <col min="471" max="471" width="30.5703125" style="3" customWidth="1"/>
    <col min="472" max="712" width="11.42578125" style="3"/>
    <col min="713" max="713" width="255.7109375" style="3" customWidth="1"/>
    <col min="714" max="715" width="89.42578125" style="3" customWidth="1"/>
    <col min="716" max="716" width="75.7109375" style="3" customWidth="1"/>
    <col min="717" max="724" width="60.7109375" style="3" customWidth="1"/>
    <col min="725" max="725" width="35.85546875" style="3" customWidth="1"/>
    <col min="726" max="726" width="11.42578125" style="3"/>
    <col min="727" max="727" width="30.5703125" style="3" customWidth="1"/>
    <col min="728" max="968" width="11.42578125" style="3"/>
    <col min="969" max="969" width="255.7109375" style="3" customWidth="1"/>
    <col min="970" max="971" width="89.42578125" style="3" customWidth="1"/>
    <col min="972" max="972" width="75.7109375" style="3" customWidth="1"/>
    <col min="973" max="980" width="60.7109375" style="3" customWidth="1"/>
    <col min="981" max="981" width="35.85546875" style="3" customWidth="1"/>
    <col min="982" max="982" width="11.42578125" style="3"/>
    <col min="983" max="983" width="30.5703125" style="3" customWidth="1"/>
    <col min="984" max="1224" width="11.42578125" style="3"/>
    <col min="1225" max="1225" width="255.7109375" style="3" customWidth="1"/>
    <col min="1226" max="1227" width="89.42578125" style="3" customWidth="1"/>
    <col min="1228" max="1228" width="75.7109375" style="3" customWidth="1"/>
    <col min="1229" max="1236" width="60.7109375" style="3" customWidth="1"/>
    <col min="1237" max="1237" width="35.85546875" style="3" customWidth="1"/>
    <col min="1238" max="1238" width="11.42578125" style="3"/>
    <col min="1239" max="1239" width="30.5703125" style="3" customWidth="1"/>
    <col min="1240" max="1480" width="11.42578125" style="3"/>
    <col min="1481" max="1481" width="255.7109375" style="3" customWidth="1"/>
    <col min="1482" max="1483" width="89.42578125" style="3" customWidth="1"/>
    <col min="1484" max="1484" width="75.7109375" style="3" customWidth="1"/>
    <col min="1485" max="1492" width="60.7109375" style="3" customWidth="1"/>
    <col min="1493" max="1493" width="35.85546875" style="3" customWidth="1"/>
    <col min="1494" max="1494" width="11.42578125" style="3"/>
    <col min="1495" max="1495" width="30.5703125" style="3" customWidth="1"/>
    <col min="1496" max="1736" width="11.42578125" style="3"/>
    <col min="1737" max="1737" width="255.7109375" style="3" customWidth="1"/>
    <col min="1738" max="1739" width="89.42578125" style="3" customWidth="1"/>
    <col min="1740" max="1740" width="75.7109375" style="3" customWidth="1"/>
    <col min="1741" max="1748" width="60.7109375" style="3" customWidth="1"/>
    <col min="1749" max="1749" width="35.85546875" style="3" customWidth="1"/>
    <col min="1750" max="1750" width="11.42578125" style="3"/>
    <col min="1751" max="1751" width="30.5703125" style="3" customWidth="1"/>
    <col min="1752" max="1992" width="11.42578125" style="3"/>
    <col min="1993" max="1993" width="255.7109375" style="3" customWidth="1"/>
    <col min="1994" max="1995" width="89.42578125" style="3" customWidth="1"/>
    <col min="1996" max="1996" width="75.7109375" style="3" customWidth="1"/>
    <col min="1997" max="2004" width="60.7109375" style="3" customWidth="1"/>
    <col min="2005" max="2005" width="35.85546875" style="3" customWidth="1"/>
    <col min="2006" max="2006" width="11.42578125" style="3"/>
    <col min="2007" max="2007" width="30.5703125" style="3" customWidth="1"/>
    <col min="2008" max="2248" width="11.42578125" style="3"/>
    <col min="2249" max="2249" width="255.7109375" style="3" customWidth="1"/>
    <col min="2250" max="2251" width="89.42578125" style="3" customWidth="1"/>
    <col min="2252" max="2252" width="75.7109375" style="3" customWidth="1"/>
    <col min="2253" max="2260" width="60.7109375" style="3" customWidth="1"/>
    <col min="2261" max="2261" width="35.85546875" style="3" customWidth="1"/>
    <col min="2262" max="2262" width="11.42578125" style="3"/>
    <col min="2263" max="2263" width="30.5703125" style="3" customWidth="1"/>
    <col min="2264" max="2504" width="11.42578125" style="3"/>
    <col min="2505" max="2505" width="255.7109375" style="3" customWidth="1"/>
    <col min="2506" max="2507" width="89.42578125" style="3" customWidth="1"/>
    <col min="2508" max="2508" width="75.7109375" style="3" customWidth="1"/>
    <col min="2509" max="2516" width="60.7109375" style="3" customWidth="1"/>
    <col min="2517" max="2517" width="35.85546875" style="3" customWidth="1"/>
    <col min="2518" max="2518" width="11.42578125" style="3"/>
    <col min="2519" max="2519" width="30.5703125" style="3" customWidth="1"/>
    <col min="2520" max="2760" width="11.42578125" style="3"/>
    <col min="2761" max="2761" width="255.7109375" style="3" customWidth="1"/>
    <col min="2762" max="2763" width="89.42578125" style="3" customWidth="1"/>
    <col min="2764" max="2764" width="75.7109375" style="3" customWidth="1"/>
    <col min="2765" max="2772" width="60.7109375" style="3" customWidth="1"/>
    <col min="2773" max="2773" width="35.85546875" style="3" customWidth="1"/>
    <col min="2774" max="2774" width="11.42578125" style="3"/>
    <col min="2775" max="2775" width="30.5703125" style="3" customWidth="1"/>
    <col min="2776" max="3016" width="11.42578125" style="3"/>
    <col min="3017" max="3017" width="255.7109375" style="3" customWidth="1"/>
    <col min="3018" max="3019" width="89.42578125" style="3" customWidth="1"/>
    <col min="3020" max="3020" width="75.7109375" style="3" customWidth="1"/>
    <col min="3021" max="3028" width="60.7109375" style="3" customWidth="1"/>
    <col min="3029" max="3029" width="35.85546875" style="3" customWidth="1"/>
    <col min="3030" max="3030" width="11.42578125" style="3"/>
    <col min="3031" max="3031" width="30.5703125" style="3" customWidth="1"/>
    <col min="3032" max="3272" width="11.42578125" style="3"/>
    <col min="3273" max="3273" width="255.7109375" style="3" customWidth="1"/>
    <col min="3274" max="3275" width="89.42578125" style="3" customWidth="1"/>
    <col min="3276" max="3276" width="75.7109375" style="3" customWidth="1"/>
    <col min="3277" max="3284" width="60.7109375" style="3" customWidth="1"/>
    <col min="3285" max="3285" width="35.85546875" style="3" customWidth="1"/>
    <col min="3286" max="3286" width="11.42578125" style="3"/>
    <col min="3287" max="3287" width="30.5703125" style="3" customWidth="1"/>
    <col min="3288" max="3528" width="11.42578125" style="3"/>
    <col min="3529" max="3529" width="255.7109375" style="3" customWidth="1"/>
    <col min="3530" max="3531" width="89.42578125" style="3" customWidth="1"/>
    <col min="3532" max="3532" width="75.7109375" style="3" customWidth="1"/>
    <col min="3533" max="3540" width="60.7109375" style="3" customWidth="1"/>
    <col min="3541" max="3541" width="35.85546875" style="3" customWidth="1"/>
    <col min="3542" max="3542" width="11.42578125" style="3"/>
    <col min="3543" max="3543" width="30.5703125" style="3" customWidth="1"/>
    <col min="3544" max="3784" width="11.42578125" style="3"/>
    <col min="3785" max="3785" width="255.7109375" style="3" customWidth="1"/>
    <col min="3786" max="3787" width="89.42578125" style="3" customWidth="1"/>
    <col min="3788" max="3788" width="75.7109375" style="3" customWidth="1"/>
    <col min="3789" max="3796" width="60.7109375" style="3" customWidth="1"/>
    <col min="3797" max="3797" width="35.85546875" style="3" customWidth="1"/>
    <col min="3798" max="3798" width="11.42578125" style="3"/>
    <col min="3799" max="3799" width="30.5703125" style="3" customWidth="1"/>
    <col min="3800" max="4040" width="11.42578125" style="3"/>
    <col min="4041" max="4041" width="255.7109375" style="3" customWidth="1"/>
    <col min="4042" max="4043" width="89.42578125" style="3" customWidth="1"/>
    <col min="4044" max="4044" width="75.7109375" style="3" customWidth="1"/>
    <col min="4045" max="4052" width="60.7109375" style="3" customWidth="1"/>
    <col min="4053" max="4053" width="35.85546875" style="3" customWidth="1"/>
    <col min="4054" max="4054" width="11.42578125" style="3"/>
    <col min="4055" max="4055" width="30.5703125" style="3" customWidth="1"/>
    <col min="4056" max="4296" width="11.42578125" style="3"/>
    <col min="4297" max="4297" width="255.7109375" style="3" customWidth="1"/>
    <col min="4298" max="4299" width="89.42578125" style="3" customWidth="1"/>
    <col min="4300" max="4300" width="75.7109375" style="3" customWidth="1"/>
    <col min="4301" max="4308" width="60.7109375" style="3" customWidth="1"/>
    <col min="4309" max="4309" width="35.85546875" style="3" customWidth="1"/>
    <col min="4310" max="4310" width="11.42578125" style="3"/>
    <col min="4311" max="4311" width="30.5703125" style="3" customWidth="1"/>
    <col min="4312" max="4552" width="11.42578125" style="3"/>
    <col min="4553" max="4553" width="255.7109375" style="3" customWidth="1"/>
    <col min="4554" max="4555" width="89.42578125" style="3" customWidth="1"/>
    <col min="4556" max="4556" width="75.7109375" style="3" customWidth="1"/>
    <col min="4557" max="4564" width="60.7109375" style="3" customWidth="1"/>
    <col min="4565" max="4565" width="35.85546875" style="3" customWidth="1"/>
    <col min="4566" max="4566" width="11.42578125" style="3"/>
    <col min="4567" max="4567" width="30.5703125" style="3" customWidth="1"/>
    <col min="4568" max="4808" width="11.42578125" style="3"/>
    <col min="4809" max="4809" width="255.7109375" style="3" customWidth="1"/>
    <col min="4810" max="4811" width="89.42578125" style="3" customWidth="1"/>
    <col min="4812" max="4812" width="75.7109375" style="3" customWidth="1"/>
    <col min="4813" max="4820" width="60.7109375" style="3" customWidth="1"/>
    <col min="4821" max="4821" width="35.85546875" style="3" customWidth="1"/>
    <col min="4822" max="4822" width="11.42578125" style="3"/>
    <col min="4823" max="4823" width="30.5703125" style="3" customWidth="1"/>
    <col min="4824" max="5064" width="11.42578125" style="3"/>
    <col min="5065" max="5065" width="255.7109375" style="3" customWidth="1"/>
    <col min="5066" max="5067" width="89.42578125" style="3" customWidth="1"/>
    <col min="5068" max="5068" width="75.7109375" style="3" customWidth="1"/>
    <col min="5069" max="5076" width="60.7109375" style="3" customWidth="1"/>
    <col min="5077" max="5077" width="35.85546875" style="3" customWidth="1"/>
    <col min="5078" max="5078" width="11.42578125" style="3"/>
    <col min="5079" max="5079" width="30.5703125" style="3" customWidth="1"/>
    <col min="5080" max="5320" width="11.42578125" style="3"/>
    <col min="5321" max="5321" width="255.7109375" style="3" customWidth="1"/>
    <col min="5322" max="5323" width="89.42578125" style="3" customWidth="1"/>
    <col min="5324" max="5324" width="75.7109375" style="3" customWidth="1"/>
    <col min="5325" max="5332" width="60.7109375" style="3" customWidth="1"/>
    <col min="5333" max="5333" width="35.85546875" style="3" customWidth="1"/>
    <col min="5334" max="5334" width="11.42578125" style="3"/>
    <col min="5335" max="5335" width="30.5703125" style="3" customWidth="1"/>
    <col min="5336" max="5576" width="11.42578125" style="3"/>
    <col min="5577" max="5577" width="255.7109375" style="3" customWidth="1"/>
    <col min="5578" max="5579" width="89.42578125" style="3" customWidth="1"/>
    <col min="5580" max="5580" width="75.7109375" style="3" customWidth="1"/>
    <col min="5581" max="5588" width="60.7109375" style="3" customWidth="1"/>
    <col min="5589" max="5589" width="35.85546875" style="3" customWidth="1"/>
    <col min="5590" max="5590" width="11.42578125" style="3"/>
    <col min="5591" max="5591" width="30.5703125" style="3" customWidth="1"/>
    <col min="5592" max="5832" width="11.42578125" style="3"/>
    <col min="5833" max="5833" width="255.7109375" style="3" customWidth="1"/>
    <col min="5834" max="5835" width="89.42578125" style="3" customWidth="1"/>
    <col min="5836" max="5836" width="75.7109375" style="3" customWidth="1"/>
    <col min="5837" max="5844" width="60.7109375" style="3" customWidth="1"/>
    <col min="5845" max="5845" width="35.85546875" style="3" customWidth="1"/>
    <col min="5846" max="5846" width="11.42578125" style="3"/>
    <col min="5847" max="5847" width="30.5703125" style="3" customWidth="1"/>
    <col min="5848" max="6088" width="11.42578125" style="3"/>
    <col min="6089" max="6089" width="255.7109375" style="3" customWidth="1"/>
    <col min="6090" max="6091" width="89.42578125" style="3" customWidth="1"/>
    <col min="6092" max="6092" width="75.7109375" style="3" customWidth="1"/>
    <col min="6093" max="6100" width="60.7109375" style="3" customWidth="1"/>
    <col min="6101" max="6101" width="35.85546875" style="3" customWidth="1"/>
    <col min="6102" max="6102" width="11.42578125" style="3"/>
    <col min="6103" max="6103" width="30.5703125" style="3" customWidth="1"/>
    <col min="6104" max="6344" width="11.42578125" style="3"/>
    <col min="6345" max="6345" width="255.7109375" style="3" customWidth="1"/>
    <col min="6346" max="6347" width="89.42578125" style="3" customWidth="1"/>
    <col min="6348" max="6348" width="75.7109375" style="3" customWidth="1"/>
    <col min="6349" max="6356" width="60.7109375" style="3" customWidth="1"/>
    <col min="6357" max="6357" width="35.85546875" style="3" customWidth="1"/>
    <col min="6358" max="6358" width="11.42578125" style="3"/>
    <col min="6359" max="6359" width="30.5703125" style="3" customWidth="1"/>
    <col min="6360" max="6600" width="11.42578125" style="3"/>
    <col min="6601" max="6601" width="255.7109375" style="3" customWidth="1"/>
    <col min="6602" max="6603" width="89.42578125" style="3" customWidth="1"/>
    <col min="6604" max="6604" width="75.7109375" style="3" customWidth="1"/>
    <col min="6605" max="6612" width="60.7109375" style="3" customWidth="1"/>
    <col min="6613" max="6613" width="35.85546875" style="3" customWidth="1"/>
    <col min="6614" max="6614" width="11.42578125" style="3"/>
    <col min="6615" max="6615" width="30.5703125" style="3" customWidth="1"/>
    <col min="6616" max="6856" width="11.42578125" style="3"/>
    <col min="6857" max="6857" width="255.7109375" style="3" customWidth="1"/>
    <col min="6858" max="6859" width="89.42578125" style="3" customWidth="1"/>
    <col min="6860" max="6860" width="75.7109375" style="3" customWidth="1"/>
    <col min="6861" max="6868" width="60.7109375" style="3" customWidth="1"/>
    <col min="6869" max="6869" width="35.85546875" style="3" customWidth="1"/>
    <col min="6870" max="6870" width="11.42578125" style="3"/>
    <col min="6871" max="6871" width="30.5703125" style="3" customWidth="1"/>
    <col min="6872" max="7112" width="11.42578125" style="3"/>
    <col min="7113" max="7113" width="255.7109375" style="3" customWidth="1"/>
    <col min="7114" max="7115" width="89.42578125" style="3" customWidth="1"/>
    <col min="7116" max="7116" width="75.7109375" style="3" customWidth="1"/>
    <col min="7117" max="7124" width="60.7109375" style="3" customWidth="1"/>
    <col min="7125" max="7125" width="35.85546875" style="3" customWidth="1"/>
    <col min="7126" max="7126" width="11.42578125" style="3"/>
    <col min="7127" max="7127" width="30.5703125" style="3" customWidth="1"/>
    <col min="7128" max="7368" width="11.42578125" style="3"/>
    <col min="7369" max="7369" width="255.7109375" style="3" customWidth="1"/>
    <col min="7370" max="7371" width="89.42578125" style="3" customWidth="1"/>
    <col min="7372" max="7372" width="75.7109375" style="3" customWidth="1"/>
    <col min="7373" max="7380" width="60.7109375" style="3" customWidth="1"/>
    <col min="7381" max="7381" width="35.85546875" style="3" customWidth="1"/>
    <col min="7382" max="7382" width="11.42578125" style="3"/>
    <col min="7383" max="7383" width="30.5703125" style="3" customWidth="1"/>
    <col min="7384" max="7624" width="11.42578125" style="3"/>
    <col min="7625" max="7625" width="255.7109375" style="3" customWidth="1"/>
    <col min="7626" max="7627" width="89.42578125" style="3" customWidth="1"/>
    <col min="7628" max="7628" width="75.7109375" style="3" customWidth="1"/>
    <col min="7629" max="7636" width="60.7109375" style="3" customWidth="1"/>
    <col min="7637" max="7637" width="35.85546875" style="3" customWidth="1"/>
    <col min="7638" max="7638" width="11.42578125" style="3"/>
    <col min="7639" max="7639" width="30.5703125" style="3" customWidth="1"/>
    <col min="7640" max="7880" width="11.42578125" style="3"/>
    <col min="7881" max="7881" width="255.7109375" style="3" customWidth="1"/>
    <col min="7882" max="7883" width="89.42578125" style="3" customWidth="1"/>
    <col min="7884" max="7884" width="75.7109375" style="3" customWidth="1"/>
    <col min="7885" max="7892" width="60.7109375" style="3" customWidth="1"/>
    <col min="7893" max="7893" width="35.85546875" style="3" customWidth="1"/>
    <col min="7894" max="7894" width="11.42578125" style="3"/>
    <col min="7895" max="7895" width="30.5703125" style="3" customWidth="1"/>
    <col min="7896" max="8136" width="11.42578125" style="3"/>
    <col min="8137" max="8137" width="255.7109375" style="3" customWidth="1"/>
    <col min="8138" max="8139" width="89.42578125" style="3" customWidth="1"/>
    <col min="8140" max="8140" width="75.7109375" style="3" customWidth="1"/>
    <col min="8141" max="8148" width="60.7109375" style="3" customWidth="1"/>
    <col min="8149" max="8149" width="35.85546875" style="3" customWidth="1"/>
    <col min="8150" max="8150" width="11.42578125" style="3"/>
    <col min="8151" max="8151" width="30.5703125" style="3" customWidth="1"/>
    <col min="8152" max="8392" width="11.42578125" style="3"/>
    <col min="8393" max="8393" width="255.7109375" style="3" customWidth="1"/>
    <col min="8394" max="8395" width="89.42578125" style="3" customWidth="1"/>
    <col min="8396" max="8396" width="75.7109375" style="3" customWidth="1"/>
    <col min="8397" max="8404" width="60.7109375" style="3" customWidth="1"/>
    <col min="8405" max="8405" width="35.85546875" style="3" customWidth="1"/>
    <col min="8406" max="8406" width="11.42578125" style="3"/>
    <col min="8407" max="8407" width="30.5703125" style="3" customWidth="1"/>
    <col min="8408" max="8648" width="11.42578125" style="3"/>
    <col min="8649" max="8649" width="255.7109375" style="3" customWidth="1"/>
    <col min="8650" max="8651" width="89.42578125" style="3" customWidth="1"/>
    <col min="8652" max="8652" width="75.7109375" style="3" customWidth="1"/>
    <col min="8653" max="8660" width="60.7109375" style="3" customWidth="1"/>
    <col min="8661" max="8661" width="35.85546875" style="3" customWidth="1"/>
    <col min="8662" max="8662" width="11.42578125" style="3"/>
    <col min="8663" max="8663" width="30.5703125" style="3" customWidth="1"/>
    <col min="8664" max="8904" width="11.42578125" style="3"/>
    <col min="8905" max="8905" width="255.7109375" style="3" customWidth="1"/>
    <col min="8906" max="8907" width="89.42578125" style="3" customWidth="1"/>
    <col min="8908" max="8908" width="75.7109375" style="3" customWidth="1"/>
    <col min="8909" max="8916" width="60.7109375" style="3" customWidth="1"/>
    <col min="8917" max="8917" width="35.85546875" style="3" customWidth="1"/>
    <col min="8918" max="8918" width="11.42578125" style="3"/>
    <col min="8919" max="8919" width="30.5703125" style="3" customWidth="1"/>
    <col min="8920" max="9160" width="11.42578125" style="3"/>
    <col min="9161" max="9161" width="255.7109375" style="3" customWidth="1"/>
    <col min="9162" max="9163" width="89.42578125" style="3" customWidth="1"/>
    <col min="9164" max="9164" width="75.7109375" style="3" customWidth="1"/>
    <col min="9165" max="9172" width="60.7109375" style="3" customWidth="1"/>
    <col min="9173" max="9173" width="35.85546875" style="3" customWidth="1"/>
    <col min="9174" max="9174" width="11.42578125" style="3"/>
    <col min="9175" max="9175" width="30.5703125" style="3" customWidth="1"/>
    <col min="9176" max="9416" width="11.42578125" style="3"/>
    <col min="9417" max="9417" width="255.7109375" style="3" customWidth="1"/>
    <col min="9418" max="9419" width="89.42578125" style="3" customWidth="1"/>
    <col min="9420" max="9420" width="75.7109375" style="3" customWidth="1"/>
    <col min="9421" max="9428" width="60.7109375" style="3" customWidth="1"/>
    <col min="9429" max="9429" width="35.85546875" style="3" customWidth="1"/>
    <col min="9430" max="9430" width="11.42578125" style="3"/>
    <col min="9431" max="9431" width="30.5703125" style="3" customWidth="1"/>
    <col min="9432" max="9672" width="11.42578125" style="3"/>
    <col min="9673" max="9673" width="255.7109375" style="3" customWidth="1"/>
    <col min="9674" max="9675" width="89.42578125" style="3" customWidth="1"/>
    <col min="9676" max="9676" width="75.7109375" style="3" customWidth="1"/>
    <col min="9677" max="9684" width="60.7109375" style="3" customWidth="1"/>
    <col min="9685" max="9685" width="35.85546875" style="3" customWidth="1"/>
    <col min="9686" max="9686" width="11.42578125" style="3"/>
    <col min="9687" max="9687" width="30.5703125" style="3" customWidth="1"/>
    <col min="9688" max="9928" width="11.42578125" style="3"/>
    <col min="9929" max="9929" width="255.7109375" style="3" customWidth="1"/>
    <col min="9930" max="9931" width="89.42578125" style="3" customWidth="1"/>
    <col min="9932" max="9932" width="75.7109375" style="3" customWidth="1"/>
    <col min="9933" max="9940" width="60.7109375" style="3" customWidth="1"/>
    <col min="9941" max="9941" width="35.85546875" style="3" customWidth="1"/>
    <col min="9942" max="9942" width="11.42578125" style="3"/>
    <col min="9943" max="9943" width="30.5703125" style="3" customWidth="1"/>
    <col min="9944" max="10184" width="11.42578125" style="3"/>
    <col min="10185" max="10185" width="255.7109375" style="3" customWidth="1"/>
    <col min="10186" max="10187" width="89.42578125" style="3" customWidth="1"/>
    <col min="10188" max="10188" width="75.7109375" style="3" customWidth="1"/>
    <col min="10189" max="10196" width="60.7109375" style="3" customWidth="1"/>
    <col min="10197" max="10197" width="35.85546875" style="3" customWidth="1"/>
    <col min="10198" max="10198" width="11.42578125" style="3"/>
    <col min="10199" max="10199" width="30.5703125" style="3" customWidth="1"/>
    <col min="10200" max="10440" width="11.42578125" style="3"/>
    <col min="10441" max="10441" width="255.7109375" style="3" customWidth="1"/>
    <col min="10442" max="10443" width="89.42578125" style="3" customWidth="1"/>
    <col min="10444" max="10444" width="75.7109375" style="3" customWidth="1"/>
    <col min="10445" max="10452" width="60.7109375" style="3" customWidth="1"/>
    <col min="10453" max="10453" width="35.85546875" style="3" customWidth="1"/>
    <col min="10454" max="10454" width="11.42578125" style="3"/>
    <col min="10455" max="10455" width="30.5703125" style="3" customWidth="1"/>
    <col min="10456" max="10696" width="11.42578125" style="3"/>
    <col min="10697" max="10697" width="255.7109375" style="3" customWidth="1"/>
    <col min="10698" max="10699" width="89.42578125" style="3" customWidth="1"/>
    <col min="10700" max="10700" width="75.7109375" style="3" customWidth="1"/>
    <col min="10701" max="10708" width="60.7109375" style="3" customWidth="1"/>
    <col min="10709" max="10709" width="35.85546875" style="3" customWidth="1"/>
    <col min="10710" max="10710" width="11.42578125" style="3"/>
    <col min="10711" max="10711" width="30.5703125" style="3" customWidth="1"/>
    <col min="10712" max="10952" width="11.42578125" style="3"/>
    <col min="10953" max="10953" width="255.7109375" style="3" customWidth="1"/>
    <col min="10954" max="10955" width="89.42578125" style="3" customWidth="1"/>
    <col min="10956" max="10956" width="75.7109375" style="3" customWidth="1"/>
    <col min="10957" max="10964" width="60.7109375" style="3" customWidth="1"/>
    <col min="10965" max="10965" width="35.85546875" style="3" customWidth="1"/>
    <col min="10966" max="10966" width="11.42578125" style="3"/>
    <col min="10967" max="10967" width="30.5703125" style="3" customWidth="1"/>
    <col min="10968" max="11208" width="11.42578125" style="3"/>
    <col min="11209" max="11209" width="255.7109375" style="3" customWidth="1"/>
    <col min="11210" max="11211" width="89.42578125" style="3" customWidth="1"/>
    <col min="11212" max="11212" width="75.7109375" style="3" customWidth="1"/>
    <col min="11213" max="11220" width="60.7109375" style="3" customWidth="1"/>
    <col min="11221" max="11221" width="35.85546875" style="3" customWidth="1"/>
    <col min="11222" max="11222" width="11.42578125" style="3"/>
    <col min="11223" max="11223" width="30.5703125" style="3" customWidth="1"/>
    <col min="11224" max="11464" width="11.42578125" style="3"/>
    <col min="11465" max="11465" width="255.7109375" style="3" customWidth="1"/>
    <col min="11466" max="11467" width="89.42578125" style="3" customWidth="1"/>
    <col min="11468" max="11468" width="75.7109375" style="3" customWidth="1"/>
    <col min="11469" max="11476" width="60.7109375" style="3" customWidth="1"/>
    <col min="11477" max="11477" width="35.85546875" style="3" customWidth="1"/>
    <col min="11478" max="11478" width="11.42578125" style="3"/>
    <col min="11479" max="11479" width="30.5703125" style="3" customWidth="1"/>
    <col min="11480" max="11720" width="11.42578125" style="3"/>
    <col min="11721" max="11721" width="255.7109375" style="3" customWidth="1"/>
    <col min="11722" max="11723" width="89.42578125" style="3" customWidth="1"/>
    <col min="11724" max="11724" width="75.7109375" style="3" customWidth="1"/>
    <col min="11725" max="11732" width="60.7109375" style="3" customWidth="1"/>
    <col min="11733" max="11733" width="35.85546875" style="3" customWidth="1"/>
    <col min="11734" max="11734" width="11.42578125" style="3"/>
    <col min="11735" max="11735" width="30.5703125" style="3" customWidth="1"/>
    <col min="11736" max="11976" width="11.42578125" style="3"/>
    <col min="11977" max="11977" width="255.7109375" style="3" customWidth="1"/>
    <col min="11978" max="11979" width="89.42578125" style="3" customWidth="1"/>
    <col min="11980" max="11980" width="75.7109375" style="3" customWidth="1"/>
    <col min="11981" max="11988" width="60.7109375" style="3" customWidth="1"/>
    <col min="11989" max="11989" width="35.85546875" style="3" customWidth="1"/>
    <col min="11990" max="11990" width="11.42578125" style="3"/>
    <col min="11991" max="11991" width="30.5703125" style="3" customWidth="1"/>
    <col min="11992" max="12232" width="11.42578125" style="3"/>
    <col min="12233" max="12233" width="255.7109375" style="3" customWidth="1"/>
    <col min="12234" max="12235" width="89.42578125" style="3" customWidth="1"/>
    <col min="12236" max="12236" width="75.7109375" style="3" customWidth="1"/>
    <col min="12237" max="12244" width="60.7109375" style="3" customWidth="1"/>
    <col min="12245" max="12245" width="35.85546875" style="3" customWidth="1"/>
    <col min="12246" max="12246" width="11.42578125" style="3"/>
    <col min="12247" max="12247" width="30.5703125" style="3" customWidth="1"/>
    <col min="12248" max="12488" width="11.42578125" style="3"/>
    <col min="12489" max="12489" width="255.7109375" style="3" customWidth="1"/>
    <col min="12490" max="12491" width="89.42578125" style="3" customWidth="1"/>
    <col min="12492" max="12492" width="75.7109375" style="3" customWidth="1"/>
    <col min="12493" max="12500" width="60.7109375" style="3" customWidth="1"/>
    <col min="12501" max="12501" width="35.85546875" style="3" customWidth="1"/>
    <col min="12502" max="12502" width="11.42578125" style="3"/>
    <col min="12503" max="12503" width="30.5703125" style="3" customWidth="1"/>
    <col min="12504" max="12744" width="11.42578125" style="3"/>
    <col min="12745" max="12745" width="255.7109375" style="3" customWidth="1"/>
    <col min="12746" max="12747" width="89.42578125" style="3" customWidth="1"/>
    <col min="12748" max="12748" width="75.7109375" style="3" customWidth="1"/>
    <col min="12749" max="12756" width="60.7109375" style="3" customWidth="1"/>
    <col min="12757" max="12757" width="35.85546875" style="3" customWidth="1"/>
    <col min="12758" max="12758" width="11.42578125" style="3"/>
    <col min="12759" max="12759" width="30.5703125" style="3" customWidth="1"/>
    <col min="12760" max="13000" width="11.42578125" style="3"/>
    <col min="13001" max="13001" width="255.7109375" style="3" customWidth="1"/>
    <col min="13002" max="13003" width="89.42578125" style="3" customWidth="1"/>
    <col min="13004" max="13004" width="75.7109375" style="3" customWidth="1"/>
    <col min="13005" max="13012" width="60.7109375" style="3" customWidth="1"/>
    <col min="13013" max="13013" width="35.85546875" style="3" customWidth="1"/>
    <col min="13014" max="13014" width="11.42578125" style="3"/>
    <col min="13015" max="13015" width="30.5703125" style="3" customWidth="1"/>
    <col min="13016" max="13256" width="11.42578125" style="3"/>
    <col min="13257" max="13257" width="255.7109375" style="3" customWidth="1"/>
    <col min="13258" max="13259" width="89.42578125" style="3" customWidth="1"/>
    <col min="13260" max="13260" width="75.7109375" style="3" customWidth="1"/>
    <col min="13261" max="13268" width="60.7109375" style="3" customWidth="1"/>
    <col min="13269" max="13269" width="35.85546875" style="3" customWidth="1"/>
    <col min="13270" max="13270" width="11.42578125" style="3"/>
    <col min="13271" max="13271" width="30.5703125" style="3" customWidth="1"/>
    <col min="13272" max="13512" width="11.42578125" style="3"/>
    <col min="13513" max="13513" width="255.7109375" style="3" customWidth="1"/>
    <col min="13514" max="13515" width="89.42578125" style="3" customWidth="1"/>
    <col min="13516" max="13516" width="75.7109375" style="3" customWidth="1"/>
    <col min="13517" max="13524" width="60.7109375" style="3" customWidth="1"/>
    <col min="13525" max="13525" width="35.85546875" style="3" customWidth="1"/>
    <col min="13526" max="13526" width="11.42578125" style="3"/>
    <col min="13527" max="13527" width="30.5703125" style="3" customWidth="1"/>
    <col min="13528" max="13768" width="11.42578125" style="3"/>
    <col min="13769" max="13769" width="255.7109375" style="3" customWidth="1"/>
    <col min="13770" max="13771" width="89.42578125" style="3" customWidth="1"/>
    <col min="13772" max="13772" width="75.7109375" style="3" customWidth="1"/>
    <col min="13773" max="13780" width="60.7109375" style="3" customWidth="1"/>
    <col min="13781" max="13781" width="35.85546875" style="3" customWidth="1"/>
    <col min="13782" max="13782" width="11.42578125" style="3"/>
    <col min="13783" max="13783" width="30.5703125" style="3" customWidth="1"/>
    <col min="13784" max="14024" width="11.42578125" style="3"/>
    <col min="14025" max="14025" width="255.7109375" style="3" customWidth="1"/>
    <col min="14026" max="14027" width="89.42578125" style="3" customWidth="1"/>
    <col min="14028" max="14028" width="75.7109375" style="3" customWidth="1"/>
    <col min="14029" max="14036" width="60.7109375" style="3" customWidth="1"/>
    <col min="14037" max="14037" width="35.85546875" style="3" customWidth="1"/>
    <col min="14038" max="14038" width="11.42578125" style="3"/>
    <col min="14039" max="14039" width="30.5703125" style="3" customWidth="1"/>
    <col min="14040" max="14280" width="11.42578125" style="3"/>
    <col min="14281" max="14281" width="255.7109375" style="3" customWidth="1"/>
    <col min="14282" max="14283" width="89.42578125" style="3" customWidth="1"/>
    <col min="14284" max="14284" width="75.7109375" style="3" customWidth="1"/>
    <col min="14285" max="14292" width="60.7109375" style="3" customWidth="1"/>
    <col min="14293" max="14293" width="35.85546875" style="3" customWidth="1"/>
    <col min="14294" max="14294" width="11.42578125" style="3"/>
    <col min="14295" max="14295" width="30.5703125" style="3" customWidth="1"/>
    <col min="14296" max="14536" width="11.42578125" style="3"/>
    <col min="14537" max="14537" width="255.7109375" style="3" customWidth="1"/>
    <col min="14538" max="14539" width="89.42578125" style="3" customWidth="1"/>
    <col min="14540" max="14540" width="75.7109375" style="3" customWidth="1"/>
    <col min="14541" max="14548" width="60.7109375" style="3" customWidth="1"/>
    <col min="14549" max="14549" width="35.85546875" style="3" customWidth="1"/>
    <col min="14550" max="14550" width="11.42578125" style="3"/>
    <col min="14551" max="14551" width="30.5703125" style="3" customWidth="1"/>
    <col min="14552" max="14792" width="11.42578125" style="3"/>
    <col min="14793" max="14793" width="255.7109375" style="3" customWidth="1"/>
    <col min="14794" max="14795" width="89.42578125" style="3" customWidth="1"/>
    <col min="14796" max="14796" width="75.7109375" style="3" customWidth="1"/>
    <col min="14797" max="14804" width="60.7109375" style="3" customWidth="1"/>
    <col min="14805" max="14805" width="35.85546875" style="3" customWidth="1"/>
    <col min="14806" max="14806" width="11.42578125" style="3"/>
    <col min="14807" max="14807" width="30.5703125" style="3" customWidth="1"/>
    <col min="14808" max="15048" width="11.42578125" style="3"/>
    <col min="15049" max="15049" width="255.7109375" style="3" customWidth="1"/>
    <col min="15050" max="15051" width="89.42578125" style="3" customWidth="1"/>
    <col min="15052" max="15052" width="75.7109375" style="3" customWidth="1"/>
    <col min="15053" max="15060" width="60.7109375" style="3" customWidth="1"/>
    <col min="15061" max="15061" width="35.85546875" style="3" customWidth="1"/>
    <col min="15062" max="15062" width="11.42578125" style="3"/>
    <col min="15063" max="15063" width="30.5703125" style="3" customWidth="1"/>
    <col min="15064" max="15304" width="11.42578125" style="3"/>
    <col min="15305" max="15305" width="255.7109375" style="3" customWidth="1"/>
    <col min="15306" max="15307" width="89.42578125" style="3" customWidth="1"/>
    <col min="15308" max="15308" width="75.7109375" style="3" customWidth="1"/>
    <col min="15309" max="15316" width="60.7109375" style="3" customWidth="1"/>
    <col min="15317" max="15317" width="35.85546875" style="3" customWidth="1"/>
    <col min="15318" max="15318" width="11.42578125" style="3"/>
    <col min="15319" max="15319" width="30.5703125" style="3" customWidth="1"/>
    <col min="15320" max="15560" width="11.42578125" style="3"/>
    <col min="15561" max="15561" width="255.7109375" style="3" customWidth="1"/>
    <col min="15562" max="15563" width="89.42578125" style="3" customWidth="1"/>
    <col min="15564" max="15564" width="75.7109375" style="3" customWidth="1"/>
    <col min="15565" max="15572" width="60.7109375" style="3" customWidth="1"/>
    <col min="15573" max="15573" width="35.85546875" style="3" customWidth="1"/>
    <col min="15574" max="15574" width="11.42578125" style="3"/>
    <col min="15575" max="15575" width="30.5703125" style="3" customWidth="1"/>
    <col min="15576" max="15816" width="11.42578125" style="3"/>
    <col min="15817" max="15817" width="255.7109375" style="3" customWidth="1"/>
    <col min="15818" max="15819" width="89.42578125" style="3" customWidth="1"/>
    <col min="15820" max="15820" width="75.7109375" style="3" customWidth="1"/>
    <col min="15821" max="15828" width="60.7109375" style="3" customWidth="1"/>
    <col min="15829" max="15829" width="35.85546875" style="3" customWidth="1"/>
    <col min="15830" max="15830" width="11.42578125" style="3"/>
    <col min="15831" max="15831" width="30.5703125" style="3" customWidth="1"/>
    <col min="15832" max="16072" width="11.42578125" style="3"/>
    <col min="16073" max="16073" width="255.7109375" style="3" customWidth="1"/>
    <col min="16074" max="16075" width="89.42578125" style="3" customWidth="1"/>
    <col min="16076" max="16076" width="75.7109375" style="3" customWidth="1"/>
    <col min="16077" max="16084" width="60.7109375" style="3" customWidth="1"/>
    <col min="16085" max="16085" width="35.85546875" style="3" customWidth="1"/>
    <col min="16086" max="16086" width="11.42578125" style="3"/>
    <col min="16087" max="16087" width="30.5703125" style="3" customWidth="1"/>
    <col min="16088" max="16384" width="11.42578125" style="3"/>
  </cols>
  <sheetData>
    <row r="1" spans="1:45" ht="12" customHeight="1" x14ac:dyDescent="0.25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45" ht="12" customHeight="1" x14ac:dyDescent="0.25">
      <c r="B2" s="84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45" ht="12" customHeight="1" x14ac:dyDescent="0.25">
      <c r="B3" s="90" t="s">
        <v>89</v>
      </c>
      <c r="C3" s="90"/>
      <c r="D3" s="90"/>
      <c r="E3" s="91"/>
      <c r="F3" s="91"/>
      <c r="G3" s="91"/>
      <c r="H3" s="91"/>
      <c r="I3" s="91"/>
      <c r="J3" s="91"/>
      <c r="K3" s="91"/>
      <c r="L3" s="91"/>
      <c r="M3" s="91"/>
    </row>
    <row r="4" spans="1:45" ht="12" customHeight="1" x14ac:dyDescent="0.25">
      <c r="B4" s="84" t="s">
        <v>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45" ht="15" customHeight="1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45" ht="12" customHeight="1" x14ac:dyDescent="0.25">
      <c r="B6" s="85" t="s">
        <v>3</v>
      </c>
      <c r="C6" s="87" t="s">
        <v>4</v>
      </c>
      <c r="D6" s="88"/>
      <c r="E6" s="89" t="s">
        <v>5</v>
      </c>
      <c r="F6" s="89"/>
      <c r="G6" s="89"/>
      <c r="H6" s="89"/>
      <c r="I6" s="89"/>
      <c r="J6" s="89"/>
      <c r="K6" s="89"/>
      <c r="L6" s="89"/>
      <c r="M6" s="89"/>
    </row>
    <row r="7" spans="1:45" ht="24" customHeight="1" x14ac:dyDescent="0.25">
      <c r="B7" s="86"/>
      <c r="C7" s="5" t="s">
        <v>6</v>
      </c>
      <c r="D7" s="5" t="s">
        <v>7</v>
      </c>
      <c r="E7" s="6" t="s">
        <v>8</v>
      </c>
      <c r="F7" s="92" t="s">
        <v>9</v>
      </c>
      <c r="G7" s="92"/>
      <c r="H7" s="92" t="s">
        <v>10</v>
      </c>
      <c r="I7" s="92"/>
      <c r="J7" s="92" t="s">
        <v>11</v>
      </c>
      <c r="K7" s="92"/>
      <c r="L7" s="92" t="s">
        <v>12</v>
      </c>
      <c r="M7" s="92"/>
    </row>
    <row r="8" spans="1:45" ht="15" customHeight="1" x14ac:dyDescent="0.25">
      <c r="B8" s="7"/>
      <c r="C8" s="8"/>
      <c r="D8" s="8"/>
      <c r="E8" s="9" t="s">
        <v>13</v>
      </c>
      <c r="F8" s="9" t="s">
        <v>6</v>
      </c>
      <c r="G8" s="9" t="s">
        <v>7</v>
      </c>
      <c r="H8" s="9" t="s">
        <v>6</v>
      </c>
      <c r="I8" s="9" t="s">
        <v>7</v>
      </c>
      <c r="J8" s="9" t="s">
        <v>6</v>
      </c>
      <c r="K8" s="9" t="s">
        <v>7</v>
      </c>
      <c r="L8" s="9" t="s">
        <v>6</v>
      </c>
      <c r="M8" s="9" t="s">
        <v>7</v>
      </c>
    </row>
    <row r="9" spans="1:45" s="12" customFormat="1" ht="27" customHeight="1" x14ac:dyDescent="0.25">
      <c r="A9" s="10"/>
      <c r="B9" s="7" t="s">
        <v>14</v>
      </c>
      <c r="C9" s="11">
        <f t="shared" ref="C9:I9" si="0">SUM(C10:C27)</f>
        <v>150170063</v>
      </c>
      <c r="D9" s="11">
        <f t="shared" si="0"/>
        <v>23093073</v>
      </c>
      <c r="E9" s="11">
        <f t="shared" si="0"/>
        <v>173263136</v>
      </c>
      <c r="F9" s="11">
        <f t="shared" si="0"/>
        <v>1880461</v>
      </c>
      <c r="G9" s="11">
        <f t="shared" si="0"/>
        <v>81042.62</v>
      </c>
      <c r="H9" s="11">
        <f t="shared" si="0"/>
        <v>0</v>
      </c>
      <c r="I9" s="11">
        <f t="shared" si="0"/>
        <v>0</v>
      </c>
      <c r="J9" s="11">
        <f>SUM(J10:J27)</f>
        <v>148289602</v>
      </c>
      <c r="K9" s="11">
        <f>SUM(K10:K27)</f>
        <v>22964700</v>
      </c>
      <c r="L9" s="11">
        <f t="shared" ref="L9:M9" si="1">SUM(L10:L27)</f>
        <v>0</v>
      </c>
      <c r="M9" s="11">
        <f t="shared" si="1"/>
        <v>47330.379999999888</v>
      </c>
      <c r="N9" s="2"/>
      <c r="O9" s="74">
        <f>C9-J9</f>
        <v>1880461</v>
      </c>
      <c r="P9" s="74">
        <f>D9-K9</f>
        <v>128373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29.25" customHeight="1" x14ac:dyDescent="0.25">
      <c r="B10" s="13" t="s">
        <v>15</v>
      </c>
      <c r="C10" s="14">
        <f>85733280+1065322+567953+247186</f>
        <v>87613741</v>
      </c>
      <c r="D10" s="14">
        <f>4971554+128373</f>
        <v>5099927</v>
      </c>
      <c r="E10" s="14">
        <f>C10+D10</f>
        <v>92713668</v>
      </c>
      <c r="F10" s="14">
        <v>1880461</v>
      </c>
      <c r="G10" s="14">
        <v>81042.62</v>
      </c>
      <c r="H10" s="14">
        <v>0</v>
      </c>
      <c r="I10" s="14">
        <v>0</v>
      </c>
      <c r="J10" s="14">
        <f>85733280.85+0.15-1</f>
        <v>85733280</v>
      </c>
      <c r="K10" s="14">
        <f>4971554</f>
        <v>4971554</v>
      </c>
      <c r="L10" s="14">
        <f>C10-F10-H10-J10</f>
        <v>0</v>
      </c>
      <c r="M10" s="14">
        <f>D10-G10-I10-K10</f>
        <v>47330.379999999888</v>
      </c>
    </row>
    <row r="11" spans="1:45" ht="15" customHeight="1" x14ac:dyDescent="0.25">
      <c r="B11" s="13" t="s">
        <v>16</v>
      </c>
      <c r="C11" s="14">
        <v>0</v>
      </c>
      <c r="D11" s="14">
        <v>0</v>
      </c>
      <c r="E11" s="14">
        <f t="shared" ref="E11:E30" si="2">C11+D11</f>
        <v>0</v>
      </c>
      <c r="F11" s="14">
        <v>0</v>
      </c>
      <c r="G11" s="14">
        <v>0</v>
      </c>
      <c r="H11" s="14"/>
      <c r="I11" s="14">
        <v>0</v>
      </c>
      <c r="J11" s="14">
        <v>0</v>
      </c>
      <c r="K11" s="14">
        <v>0</v>
      </c>
      <c r="L11" s="14">
        <f t="shared" ref="L11:L27" si="3">C11-F11-H11-J11</f>
        <v>0</v>
      </c>
      <c r="M11" s="14">
        <f t="shared" ref="M11:M27" si="4">D11-G11-I11-K11</f>
        <v>0</v>
      </c>
    </row>
    <row r="12" spans="1:45" ht="15" customHeight="1" x14ac:dyDescent="0.25">
      <c r="B12" s="13" t="s">
        <v>17</v>
      </c>
      <c r="C12" s="14">
        <v>0</v>
      </c>
      <c r="D12" s="14">
        <v>0</v>
      </c>
      <c r="E12" s="14">
        <f t="shared" si="2"/>
        <v>0</v>
      </c>
      <c r="F12" s="14">
        <v>0</v>
      </c>
      <c r="G12" s="14">
        <v>0</v>
      </c>
      <c r="H12" s="15"/>
      <c r="I12" s="14">
        <v>0</v>
      </c>
      <c r="J12" s="14">
        <v>0</v>
      </c>
      <c r="K12" s="14">
        <v>0</v>
      </c>
      <c r="L12" s="14">
        <f t="shared" si="3"/>
        <v>0</v>
      </c>
      <c r="M12" s="14">
        <f t="shared" si="4"/>
        <v>0</v>
      </c>
    </row>
    <row r="13" spans="1:45" ht="28.5" customHeight="1" x14ac:dyDescent="0.25">
      <c r="B13" s="13" t="s">
        <v>18</v>
      </c>
      <c r="C13" s="14">
        <f>2512440-805000-250322</f>
        <v>1457118</v>
      </c>
      <c r="D13" s="14">
        <f>1392960-142955</f>
        <v>1250005</v>
      </c>
      <c r="E13" s="14">
        <f t="shared" si="2"/>
        <v>2707123</v>
      </c>
      <c r="F13" s="14">
        <v>0</v>
      </c>
      <c r="G13" s="14">
        <v>0</v>
      </c>
      <c r="H13" s="15">
        <v>0</v>
      </c>
      <c r="I13" s="14">
        <v>0</v>
      </c>
      <c r="J13" s="14">
        <v>1457118</v>
      </c>
      <c r="K13" s="14">
        <v>1250005</v>
      </c>
      <c r="L13" s="14">
        <f t="shared" si="3"/>
        <v>0</v>
      </c>
      <c r="M13" s="14">
        <f t="shared" si="4"/>
        <v>0</v>
      </c>
    </row>
    <row r="14" spans="1:45" ht="31.5" customHeight="1" x14ac:dyDescent="0.25">
      <c r="B14" s="13" t="s">
        <v>19</v>
      </c>
      <c r="C14" s="14">
        <v>0</v>
      </c>
      <c r="D14" s="14">
        <v>0</v>
      </c>
      <c r="E14" s="14">
        <f t="shared" si="2"/>
        <v>0</v>
      </c>
      <c r="F14" s="14">
        <v>0</v>
      </c>
      <c r="G14" s="14">
        <v>0</v>
      </c>
      <c r="H14" s="15">
        <v>0</v>
      </c>
      <c r="I14" s="14">
        <v>0</v>
      </c>
      <c r="J14" s="14">
        <v>0</v>
      </c>
      <c r="K14" s="14">
        <v>0</v>
      </c>
      <c r="L14" s="14">
        <f t="shared" si="3"/>
        <v>0</v>
      </c>
      <c r="M14" s="14">
        <f t="shared" si="4"/>
        <v>0</v>
      </c>
    </row>
    <row r="15" spans="1:45" ht="15" customHeight="1" x14ac:dyDescent="0.25">
      <c r="B15" s="13" t="s">
        <v>20</v>
      </c>
      <c r="C15" s="14">
        <v>0</v>
      </c>
      <c r="D15" s="14">
        <v>0</v>
      </c>
      <c r="E15" s="14">
        <f t="shared" si="2"/>
        <v>0</v>
      </c>
      <c r="F15" s="14">
        <v>0</v>
      </c>
      <c r="G15" s="14">
        <v>0</v>
      </c>
      <c r="H15" s="15"/>
      <c r="I15" s="14">
        <v>0</v>
      </c>
      <c r="J15" s="14">
        <v>0</v>
      </c>
      <c r="K15" s="14">
        <v>0</v>
      </c>
      <c r="L15" s="14">
        <f t="shared" si="3"/>
        <v>0</v>
      </c>
      <c r="M15" s="14">
        <f t="shared" si="4"/>
        <v>0</v>
      </c>
    </row>
    <row r="16" spans="1:45" ht="36" hidden="1" customHeight="1" x14ac:dyDescent="0.25">
      <c r="B16" s="13" t="s">
        <v>21</v>
      </c>
      <c r="C16" s="14">
        <v>0</v>
      </c>
      <c r="D16" s="14">
        <v>0</v>
      </c>
      <c r="E16" s="14">
        <f t="shared" si="2"/>
        <v>0</v>
      </c>
      <c r="F16" s="14">
        <v>0</v>
      </c>
      <c r="G16" s="14">
        <v>0</v>
      </c>
      <c r="H16" s="15"/>
      <c r="I16" s="14">
        <v>0</v>
      </c>
      <c r="J16" s="14">
        <v>0</v>
      </c>
      <c r="K16" s="14">
        <v>0</v>
      </c>
      <c r="L16" s="14">
        <f t="shared" si="3"/>
        <v>0</v>
      </c>
      <c r="M16" s="14">
        <f t="shared" si="4"/>
        <v>0</v>
      </c>
    </row>
    <row r="17" spans="1:16" ht="42" hidden="1" customHeight="1" x14ac:dyDescent="0.25">
      <c r="B17" s="13" t="s">
        <v>22</v>
      </c>
      <c r="C17" s="14">
        <v>0</v>
      </c>
      <c r="D17" s="14">
        <v>0</v>
      </c>
      <c r="E17" s="14">
        <f t="shared" si="2"/>
        <v>0</v>
      </c>
      <c r="F17" s="14">
        <v>0</v>
      </c>
      <c r="G17" s="14">
        <v>0</v>
      </c>
      <c r="H17" s="15"/>
      <c r="I17" s="14">
        <v>0</v>
      </c>
      <c r="J17" s="14">
        <v>0</v>
      </c>
      <c r="K17" s="14">
        <v>0</v>
      </c>
      <c r="L17" s="14">
        <f t="shared" si="3"/>
        <v>0</v>
      </c>
      <c r="M17" s="14">
        <f t="shared" si="4"/>
        <v>0</v>
      </c>
    </row>
    <row r="18" spans="1:16" ht="24.75" customHeight="1" x14ac:dyDescent="0.25">
      <c r="B18" s="13" t="s">
        <v>23</v>
      </c>
      <c r="C18" s="14">
        <f>36794568.51+1837054.13+0.36</f>
        <v>38631623</v>
      </c>
      <c r="D18" s="14">
        <f>4246023.68+773889.49-0.17-1</f>
        <v>5019912</v>
      </c>
      <c r="E18" s="14">
        <f t="shared" si="2"/>
        <v>43651535</v>
      </c>
      <c r="F18" s="14">
        <v>0</v>
      </c>
      <c r="G18" s="14">
        <v>0</v>
      </c>
      <c r="H18" s="15">
        <v>0</v>
      </c>
      <c r="I18" s="14">
        <v>0</v>
      </c>
      <c r="J18" s="14">
        <f>36794569+1837054</f>
        <v>38631623</v>
      </c>
      <c r="K18" s="14">
        <f>4246023+773890-1</f>
        <v>5019912</v>
      </c>
      <c r="L18" s="14">
        <f t="shared" si="3"/>
        <v>0</v>
      </c>
      <c r="M18" s="14">
        <f t="shared" si="4"/>
        <v>0</v>
      </c>
    </row>
    <row r="19" spans="1:16" ht="25.5" hidden="1" customHeight="1" x14ac:dyDescent="0.25">
      <c r="B19" s="13" t="s">
        <v>24</v>
      </c>
      <c r="C19" s="14">
        <v>0</v>
      </c>
      <c r="D19" s="14">
        <v>0</v>
      </c>
      <c r="E19" s="14">
        <f t="shared" si="2"/>
        <v>0</v>
      </c>
      <c r="F19" s="14">
        <v>0</v>
      </c>
      <c r="G19" s="14">
        <v>0</v>
      </c>
      <c r="H19" s="15">
        <v>0</v>
      </c>
      <c r="I19" s="14">
        <v>0</v>
      </c>
      <c r="J19" s="14">
        <v>0</v>
      </c>
      <c r="K19" s="14">
        <v>0</v>
      </c>
      <c r="L19" s="14">
        <f t="shared" si="3"/>
        <v>0</v>
      </c>
      <c r="M19" s="14">
        <f t="shared" si="4"/>
        <v>0</v>
      </c>
    </row>
    <row r="20" spans="1:16" ht="28.5" customHeight="1" x14ac:dyDescent="0.25">
      <c r="B20" s="13" t="s">
        <v>25</v>
      </c>
      <c r="C20" s="14">
        <v>0</v>
      </c>
      <c r="D20" s="14">
        <v>0</v>
      </c>
      <c r="E20" s="14">
        <f t="shared" si="2"/>
        <v>0</v>
      </c>
      <c r="F20" s="14">
        <v>0</v>
      </c>
      <c r="G20" s="14">
        <v>0</v>
      </c>
      <c r="H20" s="15">
        <v>0</v>
      </c>
      <c r="I20" s="14">
        <v>0</v>
      </c>
      <c r="J20" s="14">
        <v>0</v>
      </c>
      <c r="K20" s="14">
        <v>0</v>
      </c>
      <c r="L20" s="14">
        <f t="shared" si="3"/>
        <v>0</v>
      </c>
      <c r="M20" s="14">
        <f t="shared" si="4"/>
        <v>0</v>
      </c>
    </row>
    <row r="21" spans="1:16" ht="25.5" customHeight="1" x14ac:dyDescent="0.25">
      <c r="B21" s="13" t="s">
        <v>26</v>
      </c>
      <c r="C21" s="14">
        <f>3509727-567953-245000</f>
        <v>2696774</v>
      </c>
      <c r="D21" s="14">
        <f>1804601.37-0.37-222203</f>
        <v>1582398</v>
      </c>
      <c r="E21" s="14">
        <f t="shared" si="2"/>
        <v>4279172</v>
      </c>
      <c r="F21" s="14">
        <v>0</v>
      </c>
      <c r="G21" s="14">
        <v>0</v>
      </c>
      <c r="H21" s="15">
        <v>0</v>
      </c>
      <c r="I21" s="14">
        <v>0</v>
      </c>
      <c r="J21" s="14">
        <v>2696774</v>
      </c>
      <c r="K21" s="14">
        <v>1582398</v>
      </c>
      <c r="L21" s="14">
        <f t="shared" si="3"/>
        <v>0</v>
      </c>
      <c r="M21" s="14">
        <f t="shared" si="4"/>
        <v>0</v>
      </c>
    </row>
    <row r="22" spans="1:16" ht="60" hidden="1" x14ac:dyDescent="0.25">
      <c r="B22" s="13" t="s">
        <v>27</v>
      </c>
      <c r="C22" s="14">
        <v>0</v>
      </c>
      <c r="D22" s="14">
        <v>0</v>
      </c>
      <c r="E22" s="14">
        <f t="shared" si="2"/>
        <v>0</v>
      </c>
      <c r="F22" s="14">
        <v>0</v>
      </c>
      <c r="G22" s="14">
        <v>0</v>
      </c>
      <c r="H22" s="15">
        <v>0</v>
      </c>
      <c r="I22" s="14">
        <v>0</v>
      </c>
      <c r="J22" s="14">
        <v>0</v>
      </c>
      <c r="K22" s="14">
        <v>0</v>
      </c>
      <c r="L22" s="14">
        <f t="shared" si="3"/>
        <v>0</v>
      </c>
      <c r="M22" s="14">
        <f t="shared" si="4"/>
        <v>0</v>
      </c>
    </row>
    <row r="23" spans="1:16" ht="15" customHeight="1" x14ac:dyDescent="0.25">
      <c r="B23" s="13" t="s">
        <v>28</v>
      </c>
      <c r="C23" s="14">
        <v>7620980</v>
      </c>
      <c r="D23" s="14">
        <v>3266122</v>
      </c>
      <c r="E23" s="14">
        <f t="shared" si="2"/>
        <v>10887102</v>
      </c>
      <c r="F23" s="14">
        <v>0</v>
      </c>
      <c r="G23" s="14">
        <v>0</v>
      </c>
      <c r="H23" s="15">
        <v>0</v>
      </c>
      <c r="I23" s="14">
        <v>0</v>
      </c>
      <c r="J23" s="14">
        <f>7620980.16-0.16</f>
        <v>7620980</v>
      </c>
      <c r="K23" s="14">
        <f>3266122.17-0.17</f>
        <v>3266122</v>
      </c>
      <c r="L23" s="14">
        <f t="shared" si="3"/>
        <v>0</v>
      </c>
      <c r="M23" s="14">
        <f t="shared" si="4"/>
        <v>0</v>
      </c>
    </row>
    <row r="24" spans="1:16" ht="27" customHeight="1" x14ac:dyDescent="0.25">
      <c r="B24" s="13" t="s">
        <v>29</v>
      </c>
      <c r="C24" s="14">
        <v>0</v>
      </c>
      <c r="D24" s="14">
        <v>0</v>
      </c>
      <c r="E24" s="14">
        <f t="shared" si="2"/>
        <v>0</v>
      </c>
      <c r="F24" s="14">
        <v>0</v>
      </c>
      <c r="G24" s="14">
        <v>0</v>
      </c>
      <c r="H24" s="15">
        <v>0</v>
      </c>
      <c r="I24" s="14">
        <v>0</v>
      </c>
      <c r="J24" s="14">
        <v>0</v>
      </c>
      <c r="K24" s="14">
        <v>0</v>
      </c>
      <c r="L24" s="14">
        <f t="shared" si="3"/>
        <v>0</v>
      </c>
      <c r="M24" s="14">
        <f t="shared" si="4"/>
        <v>0</v>
      </c>
    </row>
    <row r="25" spans="1:16" ht="30" customHeight="1" x14ac:dyDescent="0.25">
      <c r="B25" s="13" t="s">
        <v>30</v>
      </c>
      <c r="C25" s="14">
        <f>12149827.47-0.47</f>
        <v>12149827</v>
      </c>
      <c r="D25" s="14">
        <f>5207068.9+0.1</f>
        <v>5207069</v>
      </c>
      <c r="E25" s="14">
        <f t="shared" si="2"/>
        <v>17356896</v>
      </c>
      <c r="F25" s="14">
        <v>0</v>
      </c>
      <c r="G25" s="14">
        <v>0</v>
      </c>
      <c r="H25" s="15">
        <v>0</v>
      </c>
      <c r="I25" s="14">
        <v>0</v>
      </c>
      <c r="J25" s="14">
        <f>12149827.47-0.47</f>
        <v>12149827</v>
      </c>
      <c r="K25" s="14">
        <f>5207068.9+0.1</f>
        <v>5207069</v>
      </c>
      <c r="L25" s="14">
        <f t="shared" si="3"/>
        <v>0</v>
      </c>
      <c r="M25" s="14">
        <f t="shared" si="4"/>
        <v>0</v>
      </c>
    </row>
    <row r="26" spans="1:16" ht="15" customHeight="1" x14ac:dyDescent="0.25">
      <c r="B26" s="13" t="s">
        <v>31</v>
      </c>
      <c r="C26" s="14">
        <v>0</v>
      </c>
      <c r="D26" s="14">
        <v>0</v>
      </c>
      <c r="E26" s="14">
        <f t="shared" si="2"/>
        <v>0</v>
      </c>
      <c r="F26" s="14">
        <v>0</v>
      </c>
      <c r="G26" s="14">
        <v>0</v>
      </c>
      <c r="H26" s="15">
        <v>0</v>
      </c>
      <c r="I26" s="14">
        <v>0</v>
      </c>
      <c r="J26" s="14">
        <v>0</v>
      </c>
      <c r="K26" s="14">
        <v>0</v>
      </c>
      <c r="L26" s="14">
        <f t="shared" si="3"/>
        <v>0</v>
      </c>
      <c r="M26" s="14">
        <f t="shared" si="4"/>
        <v>0</v>
      </c>
    </row>
    <row r="27" spans="1:16" ht="15" customHeight="1" x14ac:dyDescent="0.25">
      <c r="B27" s="13" t="s">
        <v>32</v>
      </c>
      <c r="C27" s="14">
        <v>0</v>
      </c>
      <c r="D27" s="14">
        <f>1667639.79+0.21</f>
        <v>1667640</v>
      </c>
      <c r="E27" s="14">
        <f t="shared" si="2"/>
        <v>1667640</v>
      </c>
      <c r="F27" s="14">
        <v>0</v>
      </c>
      <c r="G27" s="14">
        <v>0</v>
      </c>
      <c r="H27" s="15">
        <v>0</v>
      </c>
      <c r="I27" s="14">
        <v>0</v>
      </c>
      <c r="J27" s="14">
        <v>0</v>
      </c>
      <c r="K27" s="14">
        <f>1667639.79+0.21</f>
        <v>1667640</v>
      </c>
      <c r="L27" s="14">
        <f t="shared" si="3"/>
        <v>0</v>
      </c>
      <c r="M27" s="14">
        <f t="shared" si="4"/>
        <v>0</v>
      </c>
    </row>
    <row r="28" spans="1:16" s="17" customFormat="1" ht="15" customHeight="1" x14ac:dyDescent="0.25">
      <c r="A28" s="1"/>
      <c r="B28" s="7" t="s">
        <v>33</v>
      </c>
      <c r="C28" s="11">
        <f>SUM(C29:C31)</f>
        <v>0</v>
      </c>
      <c r="D28" s="11">
        <f t="shared" ref="D28:M28" si="5">SUM(D29:D31)</f>
        <v>8009068</v>
      </c>
      <c r="E28" s="11">
        <f t="shared" si="5"/>
        <v>8009068</v>
      </c>
      <c r="F28" s="11">
        <f t="shared" si="5"/>
        <v>0</v>
      </c>
      <c r="G28" s="11">
        <f t="shared" si="5"/>
        <v>0</v>
      </c>
      <c r="H28" s="11">
        <f t="shared" si="5"/>
        <v>0</v>
      </c>
      <c r="I28" s="11">
        <f t="shared" si="5"/>
        <v>0</v>
      </c>
      <c r="J28" s="11">
        <f t="shared" si="5"/>
        <v>0</v>
      </c>
      <c r="K28" s="11">
        <f t="shared" si="5"/>
        <v>8009068</v>
      </c>
      <c r="L28" s="11">
        <f t="shared" si="5"/>
        <v>0</v>
      </c>
      <c r="M28" s="11">
        <f t="shared" si="5"/>
        <v>0</v>
      </c>
      <c r="N28" s="16"/>
      <c r="O28" s="74">
        <f>C28-J28</f>
        <v>0</v>
      </c>
      <c r="P28" s="74">
        <f>D28-K28</f>
        <v>0</v>
      </c>
    </row>
    <row r="29" spans="1:16" s="17" customFormat="1" ht="15" customHeight="1" x14ac:dyDescent="0.25">
      <c r="A29" s="1"/>
      <c r="B29" s="13" t="s">
        <v>34</v>
      </c>
      <c r="C29" s="14">
        <v>0</v>
      </c>
      <c r="D29" s="14">
        <f>4657418.49-0.49</f>
        <v>4657418</v>
      </c>
      <c r="E29" s="14">
        <f t="shared" si="2"/>
        <v>4657418</v>
      </c>
      <c r="F29" s="14">
        <v>0</v>
      </c>
      <c r="G29" s="14">
        <v>0</v>
      </c>
      <c r="H29" s="15">
        <v>0</v>
      </c>
      <c r="I29" s="15">
        <v>0</v>
      </c>
      <c r="J29" s="14">
        <v>0</v>
      </c>
      <c r="K29" s="14">
        <f>4657418.49-0.49</f>
        <v>4657418</v>
      </c>
      <c r="L29" s="14">
        <f t="shared" ref="L29:L31" si="6">C29-F29-H29-J29</f>
        <v>0</v>
      </c>
      <c r="M29" s="14">
        <f t="shared" ref="M29:M31" si="7">D29-G29-I29-K29</f>
        <v>0</v>
      </c>
      <c r="N29" s="16"/>
    </row>
    <row r="30" spans="1:16" ht="15" customHeight="1" x14ac:dyDescent="0.25">
      <c r="B30" s="13" t="s">
        <v>35</v>
      </c>
      <c r="C30" s="14">
        <v>0</v>
      </c>
      <c r="D30" s="14">
        <v>3351650</v>
      </c>
      <c r="E30" s="14">
        <f t="shared" si="2"/>
        <v>3351650</v>
      </c>
      <c r="F30" s="14">
        <v>0</v>
      </c>
      <c r="G30" s="14">
        <f>0.02-0.02</f>
        <v>0</v>
      </c>
      <c r="H30" s="15">
        <v>0</v>
      </c>
      <c r="I30" s="14">
        <v>0</v>
      </c>
      <c r="J30" s="14">
        <v>0</v>
      </c>
      <c r="K30" s="14">
        <f>3351649.99+0.01</f>
        <v>3351650</v>
      </c>
      <c r="L30" s="14">
        <f t="shared" si="6"/>
        <v>0</v>
      </c>
      <c r="M30" s="14">
        <f t="shared" si="7"/>
        <v>0</v>
      </c>
    </row>
    <row r="31" spans="1:16" ht="24" customHeight="1" x14ac:dyDescent="0.25">
      <c r="B31" s="13" t="s">
        <v>36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8">
        <v>0</v>
      </c>
      <c r="I31" s="14">
        <v>0</v>
      </c>
      <c r="J31" s="14">
        <v>0</v>
      </c>
      <c r="K31" s="14">
        <v>0</v>
      </c>
      <c r="L31" s="14">
        <f t="shared" si="6"/>
        <v>0</v>
      </c>
      <c r="M31" s="14">
        <f t="shared" si="7"/>
        <v>0</v>
      </c>
    </row>
    <row r="32" spans="1:16" s="17" customFormat="1" ht="15" customHeight="1" x14ac:dyDescent="0.25">
      <c r="A32" s="1"/>
      <c r="B32" s="19" t="s">
        <v>37</v>
      </c>
      <c r="C32" s="11">
        <f t="shared" ref="C32:L32" si="8">SUM(C33:C44)</f>
        <v>3168520</v>
      </c>
      <c r="D32" s="11">
        <f t="shared" si="8"/>
        <v>7595592</v>
      </c>
      <c r="E32" s="11">
        <f t="shared" si="8"/>
        <v>10764112</v>
      </c>
      <c r="F32" s="11">
        <f t="shared" si="8"/>
        <v>0</v>
      </c>
      <c r="G32" s="11">
        <f t="shared" si="8"/>
        <v>0</v>
      </c>
      <c r="H32" s="11">
        <f t="shared" si="8"/>
        <v>0</v>
      </c>
      <c r="I32" s="11">
        <f t="shared" si="8"/>
        <v>0</v>
      </c>
      <c r="J32" s="11">
        <f t="shared" si="8"/>
        <v>3129890</v>
      </c>
      <c r="K32" s="11">
        <f t="shared" si="8"/>
        <v>7583422</v>
      </c>
      <c r="L32" s="11">
        <f t="shared" si="8"/>
        <v>38630</v>
      </c>
      <c r="M32" s="11">
        <f>SUM(M33:M44)</f>
        <v>12170</v>
      </c>
      <c r="N32" s="16"/>
      <c r="O32" s="74">
        <f>C32-J32</f>
        <v>38630</v>
      </c>
      <c r="P32" s="74">
        <f>D32-K32</f>
        <v>12170</v>
      </c>
    </row>
    <row r="33" spans="1:16" s="17" customFormat="1" ht="15" customHeight="1" x14ac:dyDescent="0.25">
      <c r="A33" s="1"/>
      <c r="B33" s="13" t="s">
        <v>38</v>
      </c>
      <c r="C33" s="14">
        <v>0</v>
      </c>
      <c r="D33" s="14">
        <v>0</v>
      </c>
      <c r="E33" s="14">
        <f t="shared" ref="E33:E50" si="9">C33+D33</f>
        <v>0</v>
      </c>
      <c r="F33" s="14">
        <v>0</v>
      </c>
      <c r="G33" s="14">
        <v>0</v>
      </c>
      <c r="H33" s="15">
        <v>0</v>
      </c>
      <c r="I33" s="15">
        <v>0</v>
      </c>
      <c r="J33" s="14">
        <v>0</v>
      </c>
      <c r="K33" s="14">
        <v>0</v>
      </c>
      <c r="L33" s="14">
        <f t="shared" ref="L33:L44" si="10">C33-F33-H33-J33</f>
        <v>0</v>
      </c>
      <c r="M33" s="14">
        <f t="shared" ref="M33:M44" si="11">D33-G33-I33-K33</f>
        <v>0</v>
      </c>
      <c r="N33" s="16"/>
    </row>
    <row r="34" spans="1:16" s="17" customFormat="1" ht="24.75" customHeight="1" x14ac:dyDescent="0.25">
      <c r="A34" s="1"/>
      <c r="B34" s="13" t="s">
        <v>39</v>
      </c>
      <c r="C34" s="14">
        <v>0</v>
      </c>
      <c r="D34" s="14">
        <v>0</v>
      </c>
      <c r="E34" s="14">
        <f t="shared" si="9"/>
        <v>0</v>
      </c>
      <c r="F34" s="14">
        <v>0</v>
      </c>
      <c r="G34" s="14">
        <v>0</v>
      </c>
      <c r="H34" s="15">
        <v>0</v>
      </c>
      <c r="I34" s="15">
        <v>0</v>
      </c>
      <c r="J34" s="14">
        <v>0</v>
      </c>
      <c r="K34" s="14">
        <v>0</v>
      </c>
      <c r="L34" s="14">
        <f t="shared" si="10"/>
        <v>0</v>
      </c>
      <c r="M34" s="14">
        <f t="shared" si="11"/>
        <v>0</v>
      </c>
      <c r="N34" s="16"/>
    </row>
    <row r="35" spans="1:16" s="17" customFormat="1" ht="15" customHeight="1" x14ac:dyDescent="0.25">
      <c r="A35" s="1"/>
      <c r="B35" s="13" t="s">
        <v>40</v>
      </c>
      <c r="C35" s="14">
        <v>0</v>
      </c>
      <c r="D35" s="14">
        <v>0</v>
      </c>
      <c r="E35" s="14">
        <f t="shared" si="9"/>
        <v>0</v>
      </c>
      <c r="F35" s="14">
        <v>0</v>
      </c>
      <c r="G35" s="14">
        <v>0</v>
      </c>
      <c r="H35" s="15">
        <v>0</v>
      </c>
      <c r="I35" s="15">
        <v>0</v>
      </c>
      <c r="J35" s="14">
        <v>0</v>
      </c>
      <c r="K35" s="14">
        <v>0</v>
      </c>
      <c r="L35" s="14">
        <f t="shared" si="10"/>
        <v>0</v>
      </c>
      <c r="M35" s="14">
        <f t="shared" si="11"/>
        <v>0</v>
      </c>
      <c r="N35" s="16"/>
    </row>
    <row r="36" spans="1:16" s="17" customFormat="1" ht="23.25" customHeight="1" x14ac:dyDescent="0.25">
      <c r="A36" s="1"/>
      <c r="B36" s="13" t="s">
        <v>41</v>
      </c>
      <c r="C36" s="14">
        <v>0</v>
      </c>
      <c r="D36" s="14">
        <v>0</v>
      </c>
      <c r="E36" s="14">
        <f t="shared" si="9"/>
        <v>0</v>
      </c>
      <c r="F36" s="14">
        <v>0</v>
      </c>
      <c r="G36" s="14">
        <v>0</v>
      </c>
      <c r="H36" s="15">
        <v>0</v>
      </c>
      <c r="I36" s="15">
        <v>0</v>
      </c>
      <c r="J36" s="14">
        <v>0</v>
      </c>
      <c r="K36" s="14">
        <v>0</v>
      </c>
      <c r="L36" s="14">
        <f t="shared" si="10"/>
        <v>0</v>
      </c>
      <c r="M36" s="14">
        <f t="shared" si="11"/>
        <v>0</v>
      </c>
      <c r="N36" s="16"/>
    </row>
    <row r="37" spans="1:16" s="17" customFormat="1" ht="26.25" customHeight="1" x14ac:dyDescent="0.25">
      <c r="A37" s="1"/>
      <c r="B37" s="13" t="s">
        <v>42</v>
      </c>
      <c r="C37" s="14">
        <v>288400</v>
      </c>
      <c r="D37" s="14">
        <v>123600</v>
      </c>
      <c r="E37" s="14">
        <f t="shared" si="9"/>
        <v>412000</v>
      </c>
      <c r="F37" s="14">
        <v>0</v>
      </c>
      <c r="G37" s="14">
        <v>0</v>
      </c>
      <c r="H37" s="15">
        <v>0</v>
      </c>
      <c r="I37" s="15">
        <v>0</v>
      </c>
      <c r="J37" s="14">
        <v>288400</v>
      </c>
      <c r="K37" s="14">
        <v>123600</v>
      </c>
      <c r="L37" s="14">
        <f t="shared" si="10"/>
        <v>0</v>
      </c>
      <c r="M37" s="14">
        <f t="shared" si="11"/>
        <v>0</v>
      </c>
      <c r="N37" s="16"/>
    </row>
    <row r="38" spans="1:16" s="17" customFormat="1" ht="15" customHeight="1" x14ac:dyDescent="0.25">
      <c r="A38" s="1"/>
      <c r="B38" s="13" t="s">
        <v>43</v>
      </c>
      <c r="C38" s="14">
        <v>0</v>
      </c>
      <c r="D38" s="14">
        <v>5097418</v>
      </c>
      <c r="E38" s="14">
        <f t="shared" si="9"/>
        <v>5097418</v>
      </c>
      <c r="F38" s="14">
        <v>0</v>
      </c>
      <c r="G38" s="14">
        <f>887790-887790</f>
        <v>0</v>
      </c>
      <c r="H38" s="15">
        <v>0</v>
      </c>
      <c r="I38" s="15">
        <v>0</v>
      </c>
      <c r="J38" s="14">
        <v>0</v>
      </c>
      <c r="K38" s="14">
        <f>4209627.98+0.02+887790</f>
        <v>5097418</v>
      </c>
      <c r="L38" s="14">
        <f t="shared" si="10"/>
        <v>0</v>
      </c>
      <c r="M38" s="14">
        <f t="shared" si="11"/>
        <v>0</v>
      </c>
      <c r="N38" s="16"/>
    </row>
    <row r="39" spans="1:16" s="17" customFormat="1" ht="15" customHeight="1" x14ac:dyDescent="0.25">
      <c r="A39" s="1"/>
      <c r="B39" s="13" t="s">
        <v>44</v>
      </c>
      <c r="C39" s="14">
        <v>0</v>
      </c>
      <c r="D39" s="14">
        <v>0</v>
      </c>
      <c r="E39" s="14">
        <f t="shared" si="9"/>
        <v>0</v>
      </c>
      <c r="F39" s="14">
        <v>0</v>
      </c>
      <c r="G39" s="14">
        <v>0</v>
      </c>
      <c r="H39" s="15">
        <v>0</v>
      </c>
      <c r="I39" s="15">
        <v>0</v>
      </c>
      <c r="J39" s="14">
        <v>0</v>
      </c>
      <c r="K39" s="14">
        <v>0</v>
      </c>
      <c r="L39" s="14">
        <f t="shared" si="10"/>
        <v>0</v>
      </c>
      <c r="M39" s="14">
        <f t="shared" si="11"/>
        <v>0</v>
      </c>
      <c r="N39" s="16"/>
    </row>
    <row r="40" spans="1:16" s="17" customFormat="1" ht="15" customHeight="1" x14ac:dyDescent="0.25">
      <c r="A40" s="1"/>
      <c r="B40" s="13" t="s">
        <v>45</v>
      </c>
      <c r="C40" s="14">
        <v>0</v>
      </c>
      <c r="D40" s="14">
        <v>0</v>
      </c>
      <c r="E40" s="14">
        <f t="shared" si="9"/>
        <v>0</v>
      </c>
      <c r="F40" s="14">
        <v>0</v>
      </c>
      <c r="G40" s="14">
        <v>0</v>
      </c>
      <c r="H40" s="15">
        <v>0</v>
      </c>
      <c r="I40" s="15">
        <v>0</v>
      </c>
      <c r="J40" s="14">
        <v>0</v>
      </c>
      <c r="K40" s="14">
        <v>0</v>
      </c>
      <c r="L40" s="14">
        <f t="shared" si="10"/>
        <v>0</v>
      </c>
      <c r="M40" s="14">
        <f t="shared" si="11"/>
        <v>0</v>
      </c>
      <c r="N40" s="16"/>
    </row>
    <row r="41" spans="1:16" s="17" customFormat="1" ht="15" customHeight="1" x14ac:dyDescent="0.25">
      <c r="A41" s="1"/>
      <c r="B41" s="13" t="s">
        <v>46</v>
      </c>
      <c r="C41" s="14">
        <v>2880120</v>
      </c>
      <c r="D41" s="14">
        <v>869080</v>
      </c>
      <c r="E41" s="14">
        <f t="shared" si="9"/>
        <v>3749200</v>
      </c>
      <c r="F41" s="14">
        <f>24600+24600-24600-24600</f>
        <v>0</v>
      </c>
      <c r="G41" s="14">
        <v>0</v>
      </c>
      <c r="H41" s="15">
        <v>0</v>
      </c>
      <c r="I41" s="15">
        <v>0</v>
      </c>
      <c r="J41" s="14">
        <f>2792289.89+0.11+24600+24600</f>
        <v>2841490</v>
      </c>
      <c r="K41" s="14">
        <f>856910.08-0.08</f>
        <v>856910</v>
      </c>
      <c r="L41" s="14">
        <f t="shared" si="10"/>
        <v>38630</v>
      </c>
      <c r="M41" s="14">
        <f t="shared" si="11"/>
        <v>12170</v>
      </c>
      <c r="N41" s="16"/>
    </row>
    <row r="42" spans="1:16" s="17" customFormat="1" ht="15" hidden="1" customHeight="1" x14ac:dyDescent="0.25">
      <c r="A42" s="1"/>
      <c r="B42" s="13" t="s">
        <v>47</v>
      </c>
      <c r="C42" s="14">
        <v>0</v>
      </c>
      <c r="D42" s="14">
        <v>0</v>
      </c>
      <c r="E42" s="14">
        <f t="shared" si="9"/>
        <v>0</v>
      </c>
      <c r="F42" s="14">
        <v>0</v>
      </c>
      <c r="G42" s="14">
        <v>0</v>
      </c>
      <c r="H42" s="15">
        <v>0</v>
      </c>
      <c r="I42" s="15">
        <v>0</v>
      </c>
      <c r="J42" s="14">
        <v>0</v>
      </c>
      <c r="K42" s="14">
        <v>0</v>
      </c>
      <c r="L42" s="14">
        <f t="shared" si="10"/>
        <v>0</v>
      </c>
      <c r="M42" s="14">
        <f t="shared" si="11"/>
        <v>0</v>
      </c>
      <c r="N42" s="16"/>
    </row>
    <row r="43" spans="1:16" s="17" customFormat="1" ht="15" customHeight="1" x14ac:dyDescent="0.25">
      <c r="A43" s="1"/>
      <c r="B43" s="13" t="s">
        <v>48</v>
      </c>
      <c r="C43" s="14">
        <v>0</v>
      </c>
      <c r="D43" s="14">
        <v>0</v>
      </c>
      <c r="E43" s="14">
        <f t="shared" si="9"/>
        <v>0</v>
      </c>
      <c r="F43" s="14">
        <v>0</v>
      </c>
      <c r="G43" s="14">
        <v>0</v>
      </c>
      <c r="H43" s="15">
        <v>0</v>
      </c>
      <c r="I43" s="15">
        <v>0</v>
      </c>
      <c r="J43" s="14">
        <v>0</v>
      </c>
      <c r="K43" s="14">
        <v>0</v>
      </c>
      <c r="L43" s="14">
        <f t="shared" si="10"/>
        <v>0</v>
      </c>
      <c r="M43" s="14">
        <f t="shared" si="11"/>
        <v>0</v>
      </c>
      <c r="N43" s="16"/>
    </row>
    <row r="44" spans="1:16" s="17" customFormat="1" ht="29.25" customHeight="1" x14ac:dyDescent="0.25">
      <c r="A44" s="1"/>
      <c r="B44" s="13" t="s">
        <v>49</v>
      </c>
      <c r="C44" s="14">
        <v>0</v>
      </c>
      <c r="D44" s="14">
        <v>1505494</v>
      </c>
      <c r="E44" s="14">
        <f t="shared" si="9"/>
        <v>1505494</v>
      </c>
      <c r="F44" s="14">
        <v>0</v>
      </c>
      <c r="G44" s="14">
        <f>325000-325000</f>
        <v>0</v>
      </c>
      <c r="H44" s="15">
        <v>0</v>
      </c>
      <c r="I44" s="15">
        <v>0</v>
      </c>
      <c r="J44" s="14">
        <v>0</v>
      </c>
      <c r="K44" s="14">
        <f>1180494+325000</f>
        <v>1505494</v>
      </c>
      <c r="L44" s="14">
        <f t="shared" si="10"/>
        <v>0</v>
      </c>
      <c r="M44" s="14">
        <f t="shared" si="11"/>
        <v>0</v>
      </c>
      <c r="N44" s="16"/>
    </row>
    <row r="45" spans="1:16" s="17" customFormat="1" ht="15" customHeight="1" x14ac:dyDescent="0.25">
      <c r="A45" s="1"/>
      <c r="B45" s="19" t="s">
        <v>50</v>
      </c>
      <c r="C45" s="11">
        <f t="shared" ref="C45:L45" si="12">SUM(C46:C50)</f>
        <v>5781303</v>
      </c>
      <c r="D45" s="11">
        <f t="shared" si="12"/>
        <v>2528156</v>
      </c>
      <c r="E45" s="11">
        <f t="shared" si="12"/>
        <v>8309459</v>
      </c>
      <c r="F45" s="11">
        <f t="shared" si="12"/>
        <v>0</v>
      </c>
      <c r="G45" s="11">
        <f t="shared" si="12"/>
        <v>0</v>
      </c>
      <c r="H45" s="11">
        <f t="shared" si="12"/>
        <v>0</v>
      </c>
      <c r="I45" s="11">
        <f t="shared" si="12"/>
        <v>0</v>
      </c>
      <c r="J45" s="11">
        <f t="shared" si="12"/>
        <v>5781303</v>
      </c>
      <c r="K45" s="11">
        <f t="shared" si="12"/>
        <v>2528156</v>
      </c>
      <c r="L45" s="11">
        <f t="shared" si="12"/>
        <v>0</v>
      </c>
      <c r="M45" s="11">
        <f>SUM(M46:M50)</f>
        <v>0</v>
      </c>
      <c r="N45" s="16"/>
      <c r="O45" s="74">
        <f>C45-J45</f>
        <v>0</v>
      </c>
      <c r="P45" s="74">
        <f>D45-K45</f>
        <v>0</v>
      </c>
    </row>
    <row r="46" spans="1:16" s="17" customFormat="1" ht="26.25" customHeight="1" x14ac:dyDescent="0.25">
      <c r="A46" s="1"/>
      <c r="B46" s="13" t="s">
        <v>51</v>
      </c>
      <c r="C46" s="14">
        <f>5781303</f>
        <v>5781303</v>
      </c>
      <c r="D46" s="14">
        <f>2528156</f>
        <v>2528156</v>
      </c>
      <c r="E46" s="14">
        <f t="shared" si="9"/>
        <v>8309459</v>
      </c>
      <c r="F46" s="14">
        <v>0</v>
      </c>
      <c r="G46" s="14">
        <f>0.01-0.01</f>
        <v>0</v>
      </c>
      <c r="H46" s="15">
        <v>0</v>
      </c>
      <c r="I46" s="15">
        <v>0</v>
      </c>
      <c r="J46" s="14">
        <f>5781303.19-0.19</f>
        <v>5781303</v>
      </c>
      <c r="K46" s="14">
        <f>2528156</f>
        <v>2528156</v>
      </c>
      <c r="L46" s="14">
        <f t="shared" ref="L46:L50" si="13">C46-F46-H46-J46</f>
        <v>0</v>
      </c>
      <c r="M46" s="14">
        <f t="shared" ref="M46:M50" si="14">D46-G46-I46-K46</f>
        <v>0</v>
      </c>
      <c r="N46" s="16"/>
    </row>
    <row r="47" spans="1:16" s="17" customFormat="1" ht="24" customHeight="1" x14ac:dyDescent="0.25">
      <c r="A47" s="1"/>
      <c r="B47" s="13" t="s">
        <v>52</v>
      </c>
      <c r="C47" s="14">
        <v>0</v>
      </c>
      <c r="D47" s="14">
        <v>0</v>
      </c>
      <c r="E47" s="14">
        <f t="shared" si="9"/>
        <v>0</v>
      </c>
      <c r="F47" s="14">
        <v>0</v>
      </c>
      <c r="G47" s="14">
        <v>0</v>
      </c>
      <c r="H47" s="15">
        <v>0</v>
      </c>
      <c r="I47" s="15">
        <v>0</v>
      </c>
      <c r="J47" s="14">
        <v>0</v>
      </c>
      <c r="K47" s="14">
        <v>0</v>
      </c>
      <c r="L47" s="14">
        <f t="shared" si="13"/>
        <v>0</v>
      </c>
      <c r="M47" s="14">
        <f t="shared" si="14"/>
        <v>0</v>
      </c>
      <c r="N47" s="16"/>
    </row>
    <row r="48" spans="1:16" s="17" customFormat="1" ht="27.75" customHeight="1" x14ac:dyDescent="0.25">
      <c r="A48" s="1"/>
      <c r="B48" s="13" t="s">
        <v>53</v>
      </c>
      <c r="C48" s="14">
        <v>0</v>
      </c>
      <c r="D48" s="14">
        <v>0</v>
      </c>
      <c r="E48" s="14">
        <f t="shared" si="9"/>
        <v>0</v>
      </c>
      <c r="F48" s="14">
        <v>0</v>
      </c>
      <c r="G48" s="14">
        <v>0</v>
      </c>
      <c r="H48" s="15">
        <v>0</v>
      </c>
      <c r="I48" s="15">
        <v>0</v>
      </c>
      <c r="J48" s="14">
        <v>0</v>
      </c>
      <c r="K48" s="14">
        <v>0</v>
      </c>
      <c r="L48" s="14">
        <f t="shared" si="13"/>
        <v>0</v>
      </c>
      <c r="M48" s="14">
        <f t="shared" si="14"/>
        <v>0</v>
      </c>
      <c r="N48" s="16"/>
    </row>
    <row r="49" spans="1:16" s="17" customFormat="1" ht="15" hidden="1" customHeight="1" x14ac:dyDescent="0.25">
      <c r="A49" s="1"/>
      <c r="B49" s="13" t="s">
        <v>54</v>
      </c>
      <c r="C49" s="14">
        <v>0</v>
      </c>
      <c r="D49" s="14">
        <v>0</v>
      </c>
      <c r="E49" s="14">
        <f t="shared" si="9"/>
        <v>0</v>
      </c>
      <c r="F49" s="14">
        <v>0</v>
      </c>
      <c r="G49" s="14">
        <v>0</v>
      </c>
      <c r="H49" s="15">
        <v>0</v>
      </c>
      <c r="I49" s="15">
        <v>0</v>
      </c>
      <c r="J49" s="14">
        <v>0</v>
      </c>
      <c r="K49" s="14">
        <v>0</v>
      </c>
      <c r="L49" s="14">
        <f t="shared" si="13"/>
        <v>0</v>
      </c>
      <c r="M49" s="14">
        <f t="shared" si="14"/>
        <v>0</v>
      </c>
      <c r="N49" s="16"/>
    </row>
    <row r="50" spans="1:16" s="17" customFormat="1" ht="15" customHeight="1" x14ac:dyDescent="0.25">
      <c r="A50" s="1"/>
      <c r="B50" s="13" t="s">
        <v>55</v>
      </c>
      <c r="C50" s="14">
        <v>0</v>
      </c>
      <c r="D50" s="14">
        <v>0</v>
      </c>
      <c r="E50" s="14">
        <f t="shared" si="9"/>
        <v>0</v>
      </c>
      <c r="F50" s="14">
        <v>0</v>
      </c>
      <c r="G50" s="14">
        <v>0</v>
      </c>
      <c r="H50" s="15">
        <v>0</v>
      </c>
      <c r="I50" s="15">
        <v>0</v>
      </c>
      <c r="J50" s="14">
        <v>0</v>
      </c>
      <c r="K50" s="14">
        <v>0</v>
      </c>
      <c r="L50" s="14">
        <f t="shared" si="13"/>
        <v>0</v>
      </c>
      <c r="M50" s="14">
        <f t="shared" si="14"/>
        <v>0</v>
      </c>
      <c r="N50" s="16"/>
    </row>
    <row r="51" spans="1:16" s="17" customFormat="1" ht="15" customHeight="1" x14ac:dyDescent="0.25">
      <c r="A51" s="1"/>
      <c r="B51" s="19" t="s">
        <v>56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6"/>
      <c r="O51" s="74">
        <f>C51-J51</f>
        <v>0</v>
      </c>
      <c r="P51" s="74">
        <f>D51-K51</f>
        <v>0</v>
      </c>
    </row>
    <row r="52" spans="1:16" s="17" customFormat="1" ht="15" hidden="1" customHeight="1" x14ac:dyDescent="0.25">
      <c r="A52" s="1"/>
      <c r="B52" s="13" t="s">
        <v>57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5">
        <v>0</v>
      </c>
      <c r="I52" s="15">
        <v>0</v>
      </c>
      <c r="J52" s="14">
        <v>0</v>
      </c>
      <c r="K52" s="14">
        <v>0</v>
      </c>
      <c r="L52" s="14">
        <f t="shared" ref="L52:L54" si="15">C52-F52-H52-J52</f>
        <v>0</v>
      </c>
      <c r="M52" s="14">
        <f t="shared" ref="M52:M54" si="16">D52-G52-I52-K52</f>
        <v>0</v>
      </c>
      <c r="N52" s="16"/>
    </row>
    <row r="53" spans="1:16" s="17" customFormat="1" ht="15" customHeight="1" x14ac:dyDescent="0.25">
      <c r="A53" s="1"/>
      <c r="B53" s="13" t="s">
        <v>58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5">
        <v>0</v>
      </c>
      <c r="I53" s="15">
        <v>0</v>
      </c>
      <c r="J53" s="14">
        <v>0</v>
      </c>
      <c r="K53" s="14">
        <v>0</v>
      </c>
      <c r="L53" s="14">
        <f t="shared" si="15"/>
        <v>0</v>
      </c>
      <c r="M53" s="14">
        <f t="shared" si="16"/>
        <v>0</v>
      </c>
      <c r="N53" s="16"/>
    </row>
    <row r="54" spans="1:16" s="17" customFormat="1" ht="15" customHeight="1" x14ac:dyDescent="0.25">
      <c r="A54" s="1"/>
      <c r="B54" s="13" t="s">
        <v>59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5">
        <v>0</v>
      </c>
      <c r="I54" s="15">
        <v>0</v>
      </c>
      <c r="J54" s="14">
        <v>0</v>
      </c>
      <c r="K54" s="14">
        <v>0</v>
      </c>
      <c r="L54" s="14">
        <f t="shared" si="15"/>
        <v>0</v>
      </c>
      <c r="M54" s="14">
        <f t="shared" si="16"/>
        <v>0</v>
      </c>
      <c r="N54" s="16"/>
    </row>
    <row r="55" spans="1:16" s="17" customFormat="1" ht="15" customHeight="1" x14ac:dyDescent="0.25">
      <c r="A55" s="1"/>
      <c r="B55" s="19" t="s">
        <v>60</v>
      </c>
      <c r="C55" s="11">
        <f>SUM(C56:C58)</f>
        <v>85615327</v>
      </c>
      <c r="D55" s="11">
        <f t="shared" ref="D55:J55" si="17">SUM(D56:D58)</f>
        <v>39435686</v>
      </c>
      <c r="E55" s="11">
        <f t="shared" si="17"/>
        <v>125051013</v>
      </c>
      <c r="F55" s="11">
        <f t="shared" si="17"/>
        <v>0</v>
      </c>
      <c r="G55" s="11">
        <f t="shared" si="17"/>
        <v>0</v>
      </c>
      <c r="H55" s="11">
        <f t="shared" si="17"/>
        <v>0</v>
      </c>
      <c r="I55" s="11">
        <f t="shared" si="17"/>
        <v>0</v>
      </c>
      <c r="J55" s="11">
        <f t="shared" si="17"/>
        <v>84877062</v>
      </c>
      <c r="K55" s="11">
        <f>SUM(K56:K58)</f>
        <v>38993908</v>
      </c>
      <c r="L55" s="11">
        <f t="shared" ref="L55" si="18">SUM(L56:L58)</f>
        <v>738265</v>
      </c>
      <c r="M55" s="11">
        <f t="shared" ref="M55" si="19">SUM(M56:M58)</f>
        <v>441778</v>
      </c>
      <c r="N55" s="16"/>
      <c r="O55" s="74">
        <f>C55-J55</f>
        <v>738265</v>
      </c>
      <c r="P55" s="74">
        <f>D55-K55</f>
        <v>441778</v>
      </c>
    </row>
    <row r="56" spans="1:16" s="17" customFormat="1" ht="15" customHeight="1" x14ac:dyDescent="0.25">
      <c r="A56" s="1"/>
      <c r="B56" s="13" t="s">
        <v>61</v>
      </c>
      <c r="C56" s="14">
        <f>68846321-2186</f>
        <v>68844135</v>
      </c>
      <c r="D56" s="14">
        <f>32149986-13215+27797+222203</f>
        <v>32386771</v>
      </c>
      <c r="E56" s="14">
        <f t="shared" ref="E56:E60" si="20">C56+D56</f>
        <v>101230906</v>
      </c>
      <c r="F56" s="14">
        <v>0</v>
      </c>
      <c r="G56" s="14">
        <v>0</v>
      </c>
      <c r="H56" s="15">
        <v>0</v>
      </c>
      <c r="I56" s="15">
        <v>0</v>
      </c>
      <c r="J56" s="14">
        <v>68105870</v>
      </c>
      <c r="K56" s="14">
        <f>31712065+116464+116464</f>
        <v>31944993</v>
      </c>
      <c r="L56" s="14">
        <f t="shared" ref="L56:L58" si="21">C56-F56-H56-J56</f>
        <v>738265</v>
      </c>
      <c r="M56" s="14">
        <f t="shared" ref="L56:M58" si="22">D56-G56-I56-K56</f>
        <v>441778</v>
      </c>
      <c r="N56" s="16"/>
    </row>
    <row r="57" spans="1:16" ht="15" customHeight="1" x14ac:dyDescent="0.25">
      <c r="B57" s="13" t="s">
        <v>62</v>
      </c>
      <c r="C57" s="14">
        <f>11363525-10000</f>
        <v>11353525</v>
      </c>
      <c r="D57" s="14">
        <f>6026127</f>
        <v>6026127</v>
      </c>
      <c r="E57" s="14">
        <f t="shared" si="20"/>
        <v>17379652</v>
      </c>
      <c r="F57" s="14">
        <v>0</v>
      </c>
      <c r="G57" s="14">
        <v>0</v>
      </c>
      <c r="H57" s="15">
        <v>0</v>
      </c>
      <c r="I57" s="14">
        <v>0</v>
      </c>
      <c r="J57" s="14">
        <f>11363525-10000</f>
        <v>11353525</v>
      </c>
      <c r="K57" s="14">
        <f>6016127+10000</f>
        <v>6026127</v>
      </c>
      <c r="L57" s="14">
        <f t="shared" si="22"/>
        <v>0</v>
      </c>
      <c r="M57" s="14">
        <f t="shared" si="22"/>
        <v>0</v>
      </c>
    </row>
    <row r="58" spans="1:16" ht="15" customHeight="1" x14ac:dyDescent="0.25">
      <c r="B58" s="13" t="s">
        <v>63</v>
      </c>
      <c r="C58" s="14">
        <f>5417667.4-0.4</f>
        <v>5417667</v>
      </c>
      <c r="D58" s="14">
        <f>1022787.51+0.49</f>
        <v>1022788</v>
      </c>
      <c r="E58" s="14">
        <f t="shared" si="20"/>
        <v>6440455</v>
      </c>
      <c r="F58" s="14">
        <v>0</v>
      </c>
      <c r="G58" s="14">
        <v>0</v>
      </c>
      <c r="H58" s="15">
        <v>0</v>
      </c>
      <c r="I58" s="15">
        <v>0</v>
      </c>
      <c r="J58" s="14">
        <f>5417667.4-0.4</f>
        <v>5417667</v>
      </c>
      <c r="K58" s="14">
        <f>1022787.51+0.49</f>
        <v>1022788</v>
      </c>
      <c r="L58" s="14">
        <f t="shared" si="21"/>
        <v>0</v>
      </c>
      <c r="M58" s="14">
        <f t="shared" si="22"/>
        <v>0</v>
      </c>
    </row>
    <row r="59" spans="1:16" s="17" customFormat="1" ht="15" customHeight="1" x14ac:dyDescent="0.25">
      <c r="A59" s="1"/>
      <c r="B59" s="19" t="s">
        <v>64</v>
      </c>
      <c r="C59" s="11">
        <f t="shared" ref="C59:L59" si="23">C60</f>
        <v>4778515</v>
      </c>
      <c r="D59" s="11">
        <f t="shared" si="23"/>
        <v>1881238</v>
      </c>
      <c r="E59" s="11">
        <f t="shared" si="23"/>
        <v>6659753</v>
      </c>
      <c r="F59" s="11">
        <f t="shared" si="23"/>
        <v>0</v>
      </c>
      <c r="G59" s="11">
        <f t="shared" si="23"/>
        <v>0</v>
      </c>
      <c r="H59" s="11">
        <f t="shared" si="23"/>
        <v>0</v>
      </c>
      <c r="I59" s="11">
        <f t="shared" si="23"/>
        <v>0</v>
      </c>
      <c r="J59" s="11">
        <f t="shared" si="23"/>
        <v>4778515</v>
      </c>
      <c r="K59" s="11">
        <f t="shared" si="23"/>
        <v>1881238</v>
      </c>
      <c r="L59" s="11">
        <f t="shared" si="23"/>
        <v>0</v>
      </c>
      <c r="M59" s="11">
        <f>M60</f>
        <v>0</v>
      </c>
      <c r="N59" s="16"/>
      <c r="O59" s="74">
        <f>C59-J59</f>
        <v>0</v>
      </c>
      <c r="P59" s="74">
        <f>D59-K59</f>
        <v>0</v>
      </c>
    </row>
    <row r="60" spans="1:16" ht="15" customHeight="1" x14ac:dyDescent="0.25">
      <c r="B60" s="13" t="s">
        <v>65</v>
      </c>
      <c r="C60" s="14">
        <v>4778515</v>
      </c>
      <c r="D60" s="14">
        <f>1881238.21-0.21</f>
        <v>1881238</v>
      </c>
      <c r="E60" s="14">
        <f t="shared" si="20"/>
        <v>6659753</v>
      </c>
      <c r="F60" s="14">
        <v>0</v>
      </c>
      <c r="G60" s="14">
        <v>0</v>
      </c>
      <c r="H60" s="15">
        <v>0</v>
      </c>
      <c r="I60" s="14">
        <v>0</v>
      </c>
      <c r="J60" s="14">
        <v>4778515</v>
      </c>
      <c r="K60" s="14">
        <v>1881238</v>
      </c>
      <c r="L60" s="14">
        <f t="shared" ref="L60" si="24">C60-F60-H60-J60</f>
        <v>0</v>
      </c>
      <c r="M60" s="14">
        <f t="shared" ref="M60" si="25">D60-G60-I60-K60</f>
        <v>0</v>
      </c>
    </row>
    <row r="61" spans="1:16" s="24" customFormat="1" ht="15" customHeight="1" thickBot="1" x14ac:dyDescent="0.3">
      <c r="A61" s="20"/>
      <c r="B61" s="21" t="s">
        <v>66</v>
      </c>
      <c r="C61" s="22">
        <f>C59+C55+C51+C45+C32+C28+C9</f>
        <v>249513728</v>
      </c>
      <c r="D61" s="22">
        <f t="shared" ref="D61:J61" si="26">D59+D55+D51+D45+D32+D28+D9</f>
        <v>82542813</v>
      </c>
      <c r="E61" s="22">
        <f t="shared" si="26"/>
        <v>332056541</v>
      </c>
      <c r="F61" s="22">
        <f t="shared" si="26"/>
        <v>1880461</v>
      </c>
      <c r="G61" s="22">
        <f t="shared" si="26"/>
        <v>81042.62</v>
      </c>
      <c r="H61" s="22">
        <f t="shared" si="26"/>
        <v>0</v>
      </c>
      <c r="I61" s="22">
        <f t="shared" si="26"/>
        <v>0</v>
      </c>
      <c r="J61" s="22">
        <f t="shared" si="26"/>
        <v>246856372</v>
      </c>
      <c r="K61" s="22">
        <f>K59+K55+K51+K45+K32+K28+K9</f>
        <v>81960492</v>
      </c>
      <c r="L61" s="22">
        <f t="shared" ref="L61:M61" si="27">L59+L55+L51+L45+L32+L28+L9</f>
        <v>776895</v>
      </c>
      <c r="M61" s="22">
        <f t="shared" si="27"/>
        <v>501278.37999999989</v>
      </c>
      <c r="N61" s="23"/>
      <c r="O61" s="74">
        <f>C61-J61</f>
        <v>2657356</v>
      </c>
      <c r="P61" s="74">
        <f>D61-K61</f>
        <v>582321</v>
      </c>
    </row>
    <row r="62" spans="1:16" s="28" customFormat="1" ht="15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7"/>
    </row>
    <row r="63" spans="1:16" ht="26.25" customHeight="1" x14ac:dyDescent="0.25">
      <c r="B63" s="29"/>
      <c r="C63" s="29"/>
      <c r="D63" s="29"/>
      <c r="E63" s="6" t="s">
        <v>8</v>
      </c>
      <c r="F63" s="92" t="s">
        <v>9</v>
      </c>
      <c r="G63" s="92"/>
      <c r="H63" s="92" t="s">
        <v>10</v>
      </c>
      <c r="I63" s="92"/>
      <c r="J63" s="92" t="s">
        <v>11</v>
      </c>
      <c r="K63" s="92"/>
      <c r="L63" s="92" t="s">
        <v>12</v>
      </c>
      <c r="M63" s="92"/>
    </row>
    <row r="64" spans="1:16" ht="15" customHeight="1" thickBot="1" x14ac:dyDescent="0.3">
      <c r="B64" s="29"/>
      <c r="C64" s="29"/>
      <c r="D64" s="29"/>
      <c r="E64" s="30" t="s">
        <v>13</v>
      </c>
      <c r="F64" s="30" t="s">
        <v>6</v>
      </c>
      <c r="G64" s="30" t="s">
        <v>7</v>
      </c>
      <c r="H64" s="30" t="s">
        <v>6</v>
      </c>
      <c r="I64" s="30" t="s">
        <v>7</v>
      </c>
      <c r="J64" s="30" t="s">
        <v>6</v>
      </c>
      <c r="K64" s="30" t="s">
        <v>7</v>
      </c>
      <c r="L64" s="30" t="s">
        <v>6</v>
      </c>
      <c r="M64" s="30" t="s">
        <v>7</v>
      </c>
    </row>
    <row r="65" spans="1:67" s="2" customFormat="1" ht="15" customHeight="1" x14ac:dyDescent="0.25">
      <c r="A65" s="31"/>
      <c r="B65" s="32" t="s">
        <v>67</v>
      </c>
      <c r="C65" s="33">
        <f>41524294-805000-10000</f>
        <v>40709294</v>
      </c>
      <c r="D65" s="33">
        <f>41959584-13215</f>
        <v>41946369</v>
      </c>
      <c r="E65" s="33">
        <f>C65+D65</f>
        <v>82655663</v>
      </c>
      <c r="F65" s="33">
        <f>24600+24600-49200</f>
        <v>0</v>
      </c>
      <c r="G65" s="33">
        <f>1212790-887790-325000</f>
        <v>0</v>
      </c>
      <c r="H65" s="33">
        <v>0</v>
      </c>
      <c r="I65" s="33">
        <v>0</v>
      </c>
      <c r="J65" s="33">
        <f>40619685+11779+3+49200</f>
        <v>40680667</v>
      </c>
      <c r="K65" s="33">
        <f>40721300.29+108-0.29+887790+325000</f>
        <v>41934198</v>
      </c>
      <c r="L65" s="33">
        <f>C65-F65-H65-J65</f>
        <v>28627</v>
      </c>
      <c r="M65" s="33">
        <f>D65-G65-I65-K65</f>
        <v>12171</v>
      </c>
      <c r="O65" s="74">
        <f t="shared" ref="O65:P68" si="28">C65-J65</f>
        <v>28627</v>
      </c>
      <c r="P65" s="74">
        <f t="shared" si="28"/>
        <v>12171</v>
      </c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s="2" customFormat="1" ht="15" customHeight="1" x14ac:dyDescent="0.25">
      <c r="A66" s="31"/>
      <c r="B66" s="34" t="s">
        <v>68</v>
      </c>
      <c r="C66" s="35">
        <f>184708899+805000+10000+567953+247186-2186+143913.28</f>
        <v>186480765.28</v>
      </c>
      <c r="D66" s="35">
        <f>30305437+13215+222203</f>
        <v>30540855</v>
      </c>
      <c r="E66" s="35">
        <f>C66+D66</f>
        <v>217021620.28</v>
      </c>
      <c r="F66" s="35">
        <v>1880461</v>
      </c>
      <c r="G66" s="35">
        <v>81042.62</v>
      </c>
      <c r="H66" s="35">
        <v>0</v>
      </c>
      <c r="I66" s="35">
        <v>0</v>
      </c>
      <c r="J66" s="35">
        <f>178848208+150000+889994+2227168+271738.1+1837054+144079.27+242062.91-10000</f>
        <v>184600304.28</v>
      </c>
      <c r="K66" s="35">
        <f>28716343+150000+88812.66+773890+404540.37-405810.03+10000+1+232928</f>
        <v>29970705</v>
      </c>
      <c r="L66" s="35">
        <f>C66-F66-H66-J66</f>
        <v>0</v>
      </c>
      <c r="M66" s="35">
        <f t="shared" ref="M66:M67" si="29">D66-G66-I66-K66</f>
        <v>489107.37999999896</v>
      </c>
      <c r="O66" s="74">
        <f t="shared" si="28"/>
        <v>1880461</v>
      </c>
      <c r="P66" s="74">
        <f t="shared" si="28"/>
        <v>570150</v>
      </c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s="2" customFormat="1" ht="15" customHeight="1" x14ac:dyDescent="0.25">
      <c r="A67" s="31"/>
      <c r="B67" s="34" t="s">
        <v>69</v>
      </c>
      <c r="C67" s="35">
        <f>23280535-567953-245000-143913.28</f>
        <v>22323668.719999999</v>
      </c>
      <c r="D67" s="35">
        <f>10277792-222203</f>
        <v>10055589</v>
      </c>
      <c r="E67" s="35">
        <f>C67+D67</f>
        <v>32379257.719999999</v>
      </c>
      <c r="F67" s="35">
        <v>0</v>
      </c>
      <c r="G67" s="35">
        <v>0</v>
      </c>
      <c r="H67" s="35">
        <v>0</v>
      </c>
      <c r="I67" s="35">
        <v>0</v>
      </c>
      <c r="J67" s="35">
        <f>22467561-892179.28-1+20</f>
        <v>21575400.719999999</v>
      </c>
      <c r="K67" s="35">
        <f>10055590-1</f>
        <v>10055589</v>
      </c>
      <c r="L67" s="35">
        <f t="shared" ref="L67" si="30">C67-F67-H67-J67</f>
        <v>748268</v>
      </c>
      <c r="M67" s="35">
        <f t="shared" si="29"/>
        <v>0</v>
      </c>
      <c r="O67" s="74">
        <f t="shared" si="28"/>
        <v>748268</v>
      </c>
      <c r="P67" s="74">
        <f t="shared" si="28"/>
        <v>0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s="2" customFormat="1" ht="15" customHeight="1" thickBot="1" x14ac:dyDescent="0.3">
      <c r="A68" s="31"/>
      <c r="B68" s="36" t="s">
        <v>70</v>
      </c>
      <c r="C68" s="37">
        <f t="shared" ref="C68:L68" si="31">SUM(C65:C67)</f>
        <v>249513728</v>
      </c>
      <c r="D68" s="37">
        <f t="shared" si="31"/>
        <v>82542813</v>
      </c>
      <c r="E68" s="37">
        <f t="shared" si="31"/>
        <v>332056541</v>
      </c>
      <c r="F68" s="37">
        <f t="shared" si="31"/>
        <v>1880461</v>
      </c>
      <c r="G68" s="37">
        <f t="shared" si="31"/>
        <v>81042.62</v>
      </c>
      <c r="H68" s="37">
        <f t="shared" si="31"/>
        <v>0</v>
      </c>
      <c r="I68" s="37">
        <f t="shared" si="31"/>
        <v>0</v>
      </c>
      <c r="J68" s="37">
        <f t="shared" si="31"/>
        <v>246856372</v>
      </c>
      <c r="K68" s="37">
        <f t="shared" si="31"/>
        <v>81960492</v>
      </c>
      <c r="L68" s="37">
        <f t="shared" si="31"/>
        <v>776895</v>
      </c>
      <c r="M68" s="37">
        <f>SUM(M65:M67)</f>
        <v>501278.37999999896</v>
      </c>
      <c r="O68" s="74">
        <f t="shared" si="28"/>
        <v>2657356</v>
      </c>
      <c r="P68" s="74">
        <f t="shared" si="28"/>
        <v>582321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s="28" customFormat="1" ht="15" customHeight="1" x14ac:dyDescent="0.25">
      <c r="A69" s="25"/>
      <c r="C69" s="28">
        <f t="shared" ref="C69:M69" si="32">C61-C68</f>
        <v>0</v>
      </c>
      <c r="D69" s="28">
        <f t="shared" si="32"/>
        <v>0</v>
      </c>
      <c r="E69" s="28">
        <f t="shared" si="32"/>
        <v>0</v>
      </c>
      <c r="F69" s="28">
        <f>F61-F68</f>
        <v>0</v>
      </c>
      <c r="G69" s="28">
        <f t="shared" si="32"/>
        <v>0</v>
      </c>
      <c r="H69" s="28">
        <f t="shared" si="32"/>
        <v>0</v>
      </c>
      <c r="I69" s="28">
        <f t="shared" si="32"/>
        <v>0</v>
      </c>
      <c r="J69" s="28">
        <f t="shared" si="32"/>
        <v>0</v>
      </c>
      <c r="K69" s="28">
        <f t="shared" si="32"/>
        <v>0</v>
      </c>
      <c r="L69" s="28">
        <f t="shared" si="32"/>
        <v>0</v>
      </c>
      <c r="M69" s="28">
        <f t="shared" si="32"/>
        <v>9.3132257461547852E-10</v>
      </c>
      <c r="N69" s="27"/>
    </row>
    <row r="71" spans="1:67" x14ac:dyDescent="0.25">
      <c r="F71" s="28"/>
      <c r="L71" s="74"/>
      <c r="M71" s="74"/>
    </row>
    <row r="72" spans="1:67" x14ac:dyDescent="0.25">
      <c r="F72" s="75"/>
      <c r="G72" s="75"/>
    </row>
    <row r="73" spans="1:67" x14ac:dyDescent="0.25">
      <c r="M73" s="74"/>
    </row>
    <row r="75" spans="1:67" x14ac:dyDescent="0.25">
      <c r="G75" s="74"/>
    </row>
    <row r="80" spans="1:67" x14ac:dyDescent="0.25">
      <c r="H80" s="74"/>
    </row>
    <row r="82" spans="8:8" x14ac:dyDescent="0.25">
      <c r="H82" s="74"/>
    </row>
    <row r="84" spans="8:8" x14ac:dyDescent="0.25">
      <c r="H84" s="74"/>
    </row>
  </sheetData>
  <mergeCells count="15">
    <mergeCell ref="F63:G63"/>
    <mergeCell ref="H63:I63"/>
    <mergeCell ref="J63:K63"/>
    <mergeCell ref="L63:M63"/>
    <mergeCell ref="F7:G7"/>
    <mergeCell ref="H7:I7"/>
    <mergeCell ref="J7:K7"/>
    <mergeCell ref="L7:M7"/>
    <mergeCell ref="B1:M1"/>
    <mergeCell ref="B2:M2"/>
    <mergeCell ref="B6:B7"/>
    <mergeCell ref="C6:D6"/>
    <mergeCell ref="E6:M6"/>
    <mergeCell ref="B3:M3"/>
    <mergeCell ref="B4:M4"/>
  </mergeCells>
  <printOptions horizontalCentered="1" verticalCentered="1"/>
  <pageMargins left="0" right="0.17" top="0.18" bottom="0.18" header="0.35" footer="0.32"/>
  <pageSetup scale="53" orientation="landscape" r:id="rId1"/>
  <headerFooter alignWithMargins="0"/>
  <colBreaks count="1" manualBreakCount="1">
    <brk id="13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AW66"/>
  <sheetViews>
    <sheetView showGridLines="0" view="pageBreakPreview" zoomScale="25" zoomScaleNormal="75" zoomScaleSheetLayoutView="25" workbookViewId="0">
      <pane xSplit="2" ySplit="8" topLeftCell="D42" activePane="bottomRight" state="frozen"/>
      <selection activeCell="AX51" sqref="AX51"/>
      <selection pane="topRight" activeCell="AX51" sqref="AX51"/>
      <selection pane="bottomLeft" activeCell="AX51" sqref="AX51"/>
      <selection pane="bottomRight" activeCell="K57" sqref="K57"/>
    </sheetView>
  </sheetViews>
  <sheetFormatPr baseColWidth="10" defaultRowHeight="45" x14ac:dyDescent="0.25"/>
  <cols>
    <col min="1" max="1" width="8" style="38" customWidth="1"/>
    <col min="2" max="2" width="255.140625" style="39" customWidth="1"/>
    <col min="3" max="3" width="83.7109375" style="39" customWidth="1"/>
    <col min="4" max="4" width="88.5703125" style="39" customWidth="1"/>
    <col min="5" max="5" width="78.42578125" style="39" customWidth="1"/>
    <col min="6" max="6" width="74.28515625" style="39" customWidth="1"/>
    <col min="7" max="7" width="71.85546875" style="39" customWidth="1"/>
    <col min="8" max="8" width="61.85546875" style="39" customWidth="1"/>
    <col min="9" max="9" width="63.85546875" style="39" customWidth="1"/>
    <col min="10" max="10" width="82.85546875" style="39" customWidth="1"/>
    <col min="11" max="11" width="79.7109375" style="39" customWidth="1"/>
    <col min="12" max="12" width="87.5703125" style="39" customWidth="1"/>
    <col min="13" max="13" width="88.85546875" style="39" customWidth="1"/>
    <col min="14" max="204" width="11.42578125" style="39"/>
    <col min="205" max="205" width="255.140625" style="39" customWidth="1"/>
    <col min="206" max="206" width="83.7109375" style="39" customWidth="1"/>
    <col min="207" max="207" width="88.5703125" style="39" customWidth="1"/>
    <col min="208" max="208" width="94.85546875" style="39" customWidth="1"/>
    <col min="209" max="209" width="74.28515625" style="39" customWidth="1"/>
    <col min="210" max="210" width="71.85546875" style="39" customWidth="1"/>
    <col min="211" max="211" width="67.85546875" style="39" customWidth="1"/>
    <col min="212" max="212" width="71" style="39" customWidth="1"/>
    <col min="213" max="213" width="82.85546875" style="39" customWidth="1"/>
    <col min="214" max="214" width="79.7109375" style="39" customWidth="1"/>
    <col min="215" max="215" width="87.5703125" style="39" customWidth="1"/>
    <col min="216" max="216" width="88.85546875" style="39" customWidth="1"/>
    <col min="217" max="217" width="35.85546875" style="39" customWidth="1"/>
    <col min="218" max="218" width="11.42578125" style="39"/>
    <col min="219" max="219" width="30.5703125" style="39" customWidth="1"/>
    <col min="220" max="460" width="11.42578125" style="39"/>
    <col min="461" max="461" width="255.140625" style="39" customWidth="1"/>
    <col min="462" max="462" width="83.7109375" style="39" customWidth="1"/>
    <col min="463" max="463" width="88.5703125" style="39" customWidth="1"/>
    <col min="464" max="464" width="94.85546875" style="39" customWidth="1"/>
    <col min="465" max="465" width="74.28515625" style="39" customWidth="1"/>
    <col min="466" max="466" width="71.85546875" style="39" customWidth="1"/>
    <col min="467" max="467" width="67.85546875" style="39" customWidth="1"/>
    <col min="468" max="468" width="71" style="39" customWidth="1"/>
    <col min="469" max="469" width="82.85546875" style="39" customWidth="1"/>
    <col min="470" max="470" width="79.7109375" style="39" customWidth="1"/>
    <col min="471" max="471" width="87.5703125" style="39" customWidth="1"/>
    <col min="472" max="472" width="88.85546875" style="39" customWidth="1"/>
    <col min="473" max="473" width="35.85546875" style="39" customWidth="1"/>
    <col min="474" max="474" width="11.42578125" style="39"/>
    <col min="475" max="475" width="30.5703125" style="39" customWidth="1"/>
    <col min="476" max="716" width="11.42578125" style="39"/>
    <col min="717" max="717" width="255.140625" style="39" customWidth="1"/>
    <col min="718" max="718" width="83.7109375" style="39" customWidth="1"/>
    <col min="719" max="719" width="88.5703125" style="39" customWidth="1"/>
    <col min="720" max="720" width="94.85546875" style="39" customWidth="1"/>
    <col min="721" max="721" width="74.28515625" style="39" customWidth="1"/>
    <col min="722" max="722" width="71.85546875" style="39" customWidth="1"/>
    <col min="723" max="723" width="67.85546875" style="39" customWidth="1"/>
    <col min="724" max="724" width="71" style="39" customWidth="1"/>
    <col min="725" max="725" width="82.85546875" style="39" customWidth="1"/>
    <col min="726" max="726" width="79.7109375" style="39" customWidth="1"/>
    <col min="727" max="727" width="87.5703125" style="39" customWidth="1"/>
    <col min="728" max="728" width="88.85546875" style="39" customWidth="1"/>
    <col min="729" max="729" width="35.85546875" style="39" customWidth="1"/>
    <col min="730" max="730" width="11.42578125" style="39"/>
    <col min="731" max="731" width="30.5703125" style="39" customWidth="1"/>
    <col min="732" max="972" width="11.42578125" style="39"/>
    <col min="973" max="973" width="255.140625" style="39" customWidth="1"/>
    <col min="974" max="974" width="83.7109375" style="39" customWidth="1"/>
    <col min="975" max="975" width="88.5703125" style="39" customWidth="1"/>
    <col min="976" max="976" width="94.85546875" style="39" customWidth="1"/>
    <col min="977" max="977" width="74.28515625" style="39" customWidth="1"/>
    <col min="978" max="978" width="71.85546875" style="39" customWidth="1"/>
    <col min="979" max="979" width="67.85546875" style="39" customWidth="1"/>
    <col min="980" max="980" width="71" style="39" customWidth="1"/>
    <col min="981" max="981" width="82.85546875" style="39" customWidth="1"/>
    <col min="982" max="982" width="79.7109375" style="39" customWidth="1"/>
    <col min="983" max="983" width="87.5703125" style="39" customWidth="1"/>
    <col min="984" max="984" width="88.85546875" style="39" customWidth="1"/>
    <col min="985" max="985" width="35.85546875" style="39" customWidth="1"/>
    <col min="986" max="986" width="11.42578125" style="39"/>
    <col min="987" max="987" width="30.5703125" style="39" customWidth="1"/>
    <col min="988" max="1228" width="11.42578125" style="39"/>
    <col min="1229" max="1229" width="255.140625" style="39" customWidth="1"/>
    <col min="1230" max="1230" width="83.7109375" style="39" customWidth="1"/>
    <col min="1231" max="1231" width="88.5703125" style="39" customWidth="1"/>
    <col min="1232" max="1232" width="94.85546875" style="39" customWidth="1"/>
    <col min="1233" max="1233" width="74.28515625" style="39" customWidth="1"/>
    <col min="1234" max="1234" width="71.85546875" style="39" customWidth="1"/>
    <col min="1235" max="1235" width="67.85546875" style="39" customWidth="1"/>
    <col min="1236" max="1236" width="71" style="39" customWidth="1"/>
    <col min="1237" max="1237" width="82.85546875" style="39" customWidth="1"/>
    <col min="1238" max="1238" width="79.7109375" style="39" customWidth="1"/>
    <col min="1239" max="1239" width="87.5703125" style="39" customWidth="1"/>
    <col min="1240" max="1240" width="88.85546875" style="39" customWidth="1"/>
    <col min="1241" max="1241" width="35.85546875" style="39" customWidth="1"/>
    <col min="1242" max="1242" width="11.42578125" style="39"/>
    <col min="1243" max="1243" width="30.5703125" style="39" customWidth="1"/>
    <col min="1244" max="1484" width="11.42578125" style="39"/>
    <col min="1485" max="1485" width="255.140625" style="39" customWidth="1"/>
    <col min="1486" max="1486" width="83.7109375" style="39" customWidth="1"/>
    <col min="1487" max="1487" width="88.5703125" style="39" customWidth="1"/>
    <col min="1488" max="1488" width="94.85546875" style="39" customWidth="1"/>
    <col min="1489" max="1489" width="74.28515625" style="39" customWidth="1"/>
    <col min="1490" max="1490" width="71.85546875" style="39" customWidth="1"/>
    <col min="1491" max="1491" width="67.85546875" style="39" customWidth="1"/>
    <col min="1492" max="1492" width="71" style="39" customWidth="1"/>
    <col min="1493" max="1493" width="82.85546875" style="39" customWidth="1"/>
    <col min="1494" max="1494" width="79.7109375" style="39" customWidth="1"/>
    <col min="1495" max="1495" width="87.5703125" style="39" customWidth="1"/>
    <col min="1496" max="1496" width="88.85546875" style="39" customWidth="1"/>
    <col min="1497" max="1497" width="35.85546875" style="39" customWidth="1"/>
    <col min="1498" max="1498" width="11.42578125" style="39"/>
    <col min="1499" max="1499" width="30.5703125" style="39" customWidth="1"/>
    <col min="1500" max="1740" width="11.42578125" style="39"/>
    <col min="1741" max="1741" width="255.140625" style="39" customWidth="1"/>
    <col min="1742" max="1742" width="83.7109375" style="39" customWidth="1"/>
    <col min="1743" max="1743" width="88.5703125" style="39" customWidth="1"/>
    <col min="1744" max="1744" width="94.85546875" style="39" customWidth="1"/>
    <col min="1745" max="1745" width="74.28515625" style="39" customWidth="1"/>
    <col min="1746" max="1746" width="71.85546875" style="39" customWidth="1"/>
    <col min="1747" max="1747" width="67.85546875" style="39" customWidth="1"/>
    <col min="1748" max="1748" width="71" style="39" customWidth="1"/>
    <col min="1749" max="1749" width="82.85546875" style="39" customWidth="1"/>
    <col min="1750" max="1750" width="79.7109375" style="39" customWidth="1"/>
    <col min="1751" max="1751" width="87.5703125" style="39" customWidth="1"/>
    <col min="1752" max="1752" width="88.85546875" style="39" customWidth="1"/>
    <col min="1753" max="1753" width="35.85546875" style="39" customWidth="1"/>
    <col min="1754" max="1754" width="11.42578125" style="39"/>
    <col min="1755" max="1755" width="30.5703125" style="39" customWidth="1"/>
    <col min="1756" max="1996" width="11.42578125" style="39"/>
    <col min="1997" max="1997" width="255.140625" style="39" customWidth="1"/>
    <col min="1998" max="1998" width="83.7109375" style="39" customWidth="1"/>
    <col min="1999" max="1999" width="88.5703125" style="39" customWidth="1"/>
    <col min="2000" max="2000" width="94.85546875" style="39" customWidth="1"/>
    <col min="2001" max="2001" width="74.28515625" style="39" customWidth="1"/>
    <col min="2002" max="2002" width="71.85546875" style="39" customWidth="1"/>
    <col min="2003" max="2003" width="67.85546875" style="39" customWidth="1"/>
    <col min="2004" max="2004" width="71" style="39" customWidth="1"/>
    <col min="2005" max="2005" width="82.85546875" style="39" customWidth="1"/>
    <col min="2006" max="2006" width="79.7109375" style="39" customWidth="1"/>
    <col min="2007" max="2007" width="87.5703125" style="39" customWidth="1"/>
    <col min="2008" max="2008" width="88.85546875" style="39" customWidth="1"/>
    <col min="2009" max="2009" width="35.85546875" style="39" customWidth="1"/>
    <col min="2010" max="2010" width="11.42578125" style="39"/>
    <col min="2011" max="2011" width="30.5703125" style="39" customWidth="1"/>
    <col min="2012" max="2252" width="11.42578125" style="39"/>
    <col min="2253" max="2253" width="255.140625" style="39" customWidth="1"/>
    <col min="2254" max="2254" width="83.7109375" style="39" customWidth="1"/>
    <col min="2255" max="2255" width="88.5703125" style="39" customWidth="1"/>
    <col min="2256" max="2256" width="94.85546875" style="39" customWidth="1"/>
    <col min="2257" max="2257" width="74.28515625" style="39" customWidth="1"/>
    <col min="2258" max="2258" width="71.85546875" style="39" customWidth="1"/>
    <col min="2259" max="2259" width="67.85546875" style="39" customWidth="1"/>
    <col min="2260" max="2260" width="71" style="39" customWidth="1"/>
    <col min="2261" max="2261" width="82.85546875" style="39" customWidth="1"/>
    <col min="2262" max="2262" width="79.7109375" style="39" customWidth="1"/>
    <col min="2263" max="2263" width="87.5703125" style="39" customWidth="1"/>
    <col min="2264" max="2264" width="88.85546875" style="39" customWidth="1"/>
    <col min="2265" max="2265" width="35.85546875" style="39" customWidth="1"/>
    <col min="2266" max="2266" width="11.42578125" style="39"/>
    <col min="2267" max="2267" width="30.5703125" style="39" customWidth="1"/>
    <col min="2268" max="2508" width="11.42578125" style="39"/>
    <col min="2509" max="2509" width="255.140625" style="39" customWidth="1"/>
    <col min="2510" max="2510" width="83.7109375" style="39" customWidth="1"/>
    <col min="2511" max="2511" width="88.5703125" style="39" customWidth="1"/>
    <col min="2512" max="2512" width="94.85546875" style="39" customWidth="1"/>
    <col min="2513" max="2513" width="74.28515625" style="39" customWidth="1"/>
    <col min="2514" max="2514" width="71.85546875" style="39" customWidth="1"/>
    <col min="2515" max="2515" width="67.85546875" style="39" customWidth="1"/>
    <col min="2516" max="2516" width="71" style="39" customWidth="1"/>
    <col min="2517" max="2517" width="82.85546875" style="39" customWidth="1"/>
    <col min="2518" max="2518" width="79.7109375" style="39" customWidth="1"/>
    <col min="2519" max="2519" width="87.5703125" style="39" customWidth="1"/>
    <col min="2520" max="2520" width="88.85546875" style="39" customWidth="1"/>
    <col min="2521" max="2521" width="35.85546875" style="39" customWidth="1"/>
    <col min="2522" max="2522" width="11.42578125" style="39"/>
    <col min="2523" max="2523" width="30.5703125" style="39" customWidth="1"/>
    <col min="2524" max="2764" width="11.42578125" style="39"/>
    <col min="2765" max="2765" width="255.140625" style="39" customWidth="1"/>
    <col min="2766" max="2766" width="83.7109375" style="39" customWidth="1"/>
    <col min="2767" max="2767" width="88.5703125" style="39" customWidth="1"/>
    <col min="2768" max="2768" width="94.85546875" style="39" customWidth="1"/>
    <col min="2769" max="2769" width="74.28515625" style="39" customWidth="1"/>
    <col min="2770" max="2770" width="71.85546875" style="39" customWidth="1"/>
    <col min="2771" max="2771" width="67.85546875" style="39" customWidth="1"/>
    <col min="2772" max="2772" width="71" style="39" customWidth="1"/>
    <col min="2773" max="2773" width="82.85546875" style="39" customWidth="1"/>
    <col min="2774" max="2774" width="79.7109375" style="39" customWidth="1"/>
    <col min="2775" max="2775" width="87.5703125" style="39" customWidth="1"/>
    <col min="2776" max="2776" width="88.85546875" style="39" customWidth="1"/>
    <col min="2777" max="2777" width="35.85546875" style="39" customWidth="1"/>
    <col min="2778" max="2778" width="11.42578125" style="39"/>
    <col min="2779" max="2779" width="30.5703125" style="39" customWidth="1"/>
    <col min="2780" max="3020" width="11.42578125" style="39"/>
    <col min="3021" max="3021" width="255.140625" style="39" customWidth="1"/>
    <col min="3022" max="3022" width="83.7109375" style="39" customWidth="1"/>
    <col min="3023" max="3023" width="88.5703125" style="39" customWidth="1"/>
    <col min="3024" max="3024" width="94.85546875" style="39" customWidth="1"/>
    <col min="3025" max="3025" width="74.28515625" style="39" customWidth="1"/>
    <col min="3026" max="3026" width="71.85546875" style="39" customWidth="1"/>
    <col min="3027" max="3027" width="67.85546875" style="39" customWidth="1"/>
    <col min="3028" max="3028" width="71" style="39" customWidth="1"/>
    <col min="3029" max="3029" width="82.85546875" style="39" customWidth="1"/>
    <col min="3030" max="3030" width="79.7109375" style="39" customWidth="1"/>
    <col min="3031" max="3031" width="87.5703125" style="39" customWidth="1"/>
    <col min="3032" max="3032" width="88.85546875" style="39" customWidth="1"/>
    <col min="3033" max="3033" width="35.85546875" style="39" customWidth="1"/>
    <col min="3034" max="3034" width="11.42578125" style="39"/>
    <col min="3035" max="3035" width="30.5703125" style="39" customWidth="1"/>
    <col min="3036" max="3276" width="11.42578125" style="39"/>
    <col min="3277" max="3277" width="255.140625" style="39" customWidth="1"/>
    <col min="3278" max="3278" width="83.7109375" style="39" customWidth="1"/>
    <col min="3279" max="3279" width="88.5703125" style="39" customWidth="1"/>
    <col min="3280" max="3280" width="94.85546875" style="39" customWidth="1"/>
    <col min="3281" max="3281" width="74.28515625" style="39" customWidth="1"/>
    <col min="3282" max="3282" width="71.85546875" style="39" customWidth="1"/>
    <col min="3283" max="3283" width="67.85546875" style="39" customWidth="1"/>
    <col min="3284" max="3284" width="71" style="39" customWidth="1"/>
    <col min="3285" max="3285" width="82.85546875" style="39" customWidth="1"/>
    <col min="3286" max="3286" width="79.7109375" style="39" customWidth="1"/>
    <col min="3287" max="3287" width="87.5703125" style="39" customWidth="1"/>
    <col min="3288" max="3288" width="88.85546875" style="39" customWidth="1"/>
    <col min="3289" max="3289" width="35.85546875" style="39" customWidth="1"/>
    <col min="3290" max="3290" width="11.42578125" style="39"/>
    <col min="3291" max="3291" width="30.5703125" style="39" customWidth="1"/>
    <col min="3292" max="3532" width="11.42578125" style="39"/>
    <col min="3533" max="3533" width="255.140625" style="39" customWidth="1"/>
    <col min="3534" max="3534" width="83.7109375" style="39" customWidth="1"/>
    <col min="3535" max="3535" width="88.5703125" style="39" customWidth="1"/>
    <col min="3536" max="3536" width="94.85546875" style="39" customWidth="1"/>
    <col min="3537" max="3537" width="74.28515625" style="39" customWidth="1"/>
    <col min="3538" max="3538" width="71.85546875" style="39" customWidth="1"/>
    <col min="3539" max="3539" width="67.85546875" style="39" customWidth="1"/>
    <col min="3540" max="3540" width="71" style="39" customWidth="1"/>
    <col min="3541" max="3541" width="82.85546875" style="39" customWidth="1"/>
    <col min="3542" max="3542" width="79.7109375" style="39" customWidth="1"/>
    <col min="3543" max="3543" width="87.5703125" style="39" customWidth="1"/>
    <col min="3544" max="3544" width="88.85546875" style="39" customWidth="1"/>
    <col min="3545" max="3545" width="35.85546875" style="39" customWidth="1"/>
    <col min="3546" max="3546" width="11.42578125" style="39"/>
    <col min="3547" max="3547" width="30.5703125" style="39" customWidth="1"/>
    <col min="3548" max="3788" width="11.42578125" style="39"/>
    <col min="3789" max="3789" width="255.140625" style="39" customWidth="1"/>
    <col min="3790" max="3790" width="83.7109375" style="39" customWidth="1"/>
    <col min="3791" max="3791" width="88.5703125" style="39" customWidth="1"/>
    <col min="3792" max="3792" width="94.85546875" style="39" customWidth="1"/>
    <col min="3793" max="3793" width="74.28515625" style="39" customWidth="1"/>
    <col min="3794" max="3794" width="71.85546875" style="39" customWidth="1"/>
    <col min="3795" max="3795" width="67.85546875" style="39" customWidth="1"/>
    <col min="3796" max="3796" width="71" style="39" customWidth="1"/>
    <col min="3797" max="3797" width="82.85546875" style="39" customWidth="1"/>
    <col min="3798" max="3798" width="79.7109375" style="39" customWidth="1"/>
    <col min="3799" max="3799" width="87.5703125" style="39" customWidth="1"/>
    <col min="3800" max="3800" width="88.85546875" style="39" customWidth="1"/>
    <col min="3801" max="3801" width="35.85546875" style="39" customWidth="1"/>
    <col min="3802" max="3802" width="11.42578125" style="39"/>
    <col min="3803" max="3803" width="30.5703125" style="39" customWidth="1"/>
    <col min="3804" max="4044" width="11.42578125" style="39"/>
    <col min="4045" max="4045" width="255.140625" style="39" customWidth="1"/>
    <col min="4046" max="4046" width="83.7109375" style="39" customWidth="1"/>
    <col min="4047" max="4047" width="88.5703125" style="39" customWidth="1"/>
    <col min="4048" max="4048" width="94.85546875" style="39" customWidth="1"/>
    <col min="4049" max="4049" width="74.28515625" style="39" customWidth="1"/>
    <col min="4050" max="4050" width="71.85546875" style="39" customWidth="1"/>
    <col min="4051" max="4051" width="67.85546875" style="39" customWidth="1"/>
    <col min="4052" max="4052" width="71" style="39" customWidth="1"/>
    <col min="4053" max="4053" width="82.85546875" style="39" customWidth="1"/>
    <col min="4054" max="4054" width="79.7109375" style="39" customWidth="1"/>
    <col min="4055" max="4055" width="87.5703125" style="39" customWidth="1"/>
    <col min="4056" max="4056" width="88.85546875" style="39" customWidth="1"/>
    <col min="4057" max="4057" width="35.85546875" style="39" customWidth="1"/>
    <col min="4058" max="4058" width="11.42578125" style="39"/>
    <col min="4059" max="4059" width="30.5703125" style="39" customWidth="1"/>
    <col min="4060" max="4300" width="11.42578125" style="39"/>
    <col min="4301" max="4301" width="255.140625" style="39" customWidth="1"/>
    <col min="4302" max="4302" width="83.7109375" style="39" customWidth="1"/>
    <col min="4303" max="4303" width="88.5703125" style="39" customWidth="1"/>
    <col min="4304" max="4304" width="94.85546875" style="39" customWidth="1"/>
    <col min="4305" max="4305" width="74.28515625" style="39" customWidth="1"/>
    <col min="4306" max="4306" width="71.85546875" style="39" customWidth="1"/>
    <col min="4307" max="4307" width="67.85546875" style="39" customWidth="1"/>
    <col min="4308" max="4308" width="71" style="39" customWidth="1"/>
    <col min="4309" max="4309" width="82.85546875" style="39" customWidth="1"/>
    <col min="4310" max="4310" width="79.7109375" style="39" customWidth="1"/>
    <col min="4311" max="4311" width="87.5703125" style="39" customWidth="1"/>
    <col min="4312" max="4312" width="88.85546875" style="39" customWidth="1"/>
    <col min="4313" max="4313" width="35.85546875" style="39" customWidth="1"/>
    <col min="4314" max="4314" width="11.42578125" style="39"/>
    <col min="4315" max="4315" width="30.5703125" style="39" customWidth="1"/>
    <col min="4316" max="4556" width="11.42578125" style="39"/>
    <col min="4557" max="4557" width="255.140625" style="39" customWidth="1"/>
    <col min="4558" max="4558" width="83.7109375" style="39" customWidth="1"/>
    <col min="4559" max="4559" width="88.5703125" style="39" customWidth="1"/>
    <col min="4560" max="4560" width="94.85546875" style="39" customWidth="1"/>
    <col min="4561" max="4561" width="74.28515625" style="39" customWidth="1"/>
    <col min="4562" max="4562" width="71.85546875" style="39" customWidth="1"/>
    <col min="4563" max="4563" width="67.85546875" style="39" customWidth="1"/>
    <col min="4564" max="4564" width="71" style="39" customWidth="1"/>
    <col min="4565" max="4565" width="82.85546875" style="39" customWidth="1"/>
    <col min="4566" max="4566" width="79.7109375" style="39" customWidth="1"/>
    <col min="4567" max="4567" width="87.5703125" style="39" customWidth="1"/>
    <col min="4568" max="4568" width="88.85546875" style="39" customWidth="1"/>
    <col min="4569" max="4569" width="35.85546875" style="39" customWidth="1"/>
    <col min="4570" max="4570" width="11.42578125" style="39"/>
    <col min="4571" max="4571" width="30.5703125" style="39" customWidth="1"/>
    <col min="4572" max="4812" width="11.42578125" style="39"/>
    <col min="4813" max="4813" width="255.140625" style="39" customWidth="1"/>
    <col min="4814" max="4814" width="83.7109375" style="39" customWidth="1"/>
    <col min="4815" max="4815" width="88.5703125" style="39" customWidth="1"/>
    <col min="4816" max="4816" width="94.85546875" style="39" customWidth="1"/>
    <col min="4817" max="4817" width="74.28515625" style="39" customWidth="1"/>
    <col min="4818" max="4818" width="71.85546875" style="39" customWidth="1"/>
    <col min="4819" max="4819" width="67.85546875" style="39" customWidth="1"/>
    <col min="4820" max="4820" width="71" style="39" customWidth="1"/>
    <col min="4821" max="4821" width="82.85546875" style="39" customWidth="1"/>
    <col min="4822" max="4822" width="79.7109375" style="39" customWidth="1"/>
    <col min="4823" max="4823" width="87.5703125" style="39" customWidth="1"/>
    <col min="4824" max="4824" width="88.85546875" style="39" customWidth="1"/>
    <col min="4825" max="4825" width="35.85546875" style="39" customWidth="1"/>
    <col min="4826" max="4826" width="11.42578125" style="39"/>
    <col min="4827" max="4827" width="30.5703125" style="39" customWidth="1"/>
    <col min="4828" max="5068" width="11.42578125" style="39"/>
    <col min="5069" max="5069" width="255.140625" style="39" customWidth="1"/>
    <col min="5070" max="5070" width="83.7109375" style="39" customWidth="1"/>
    <col min="5071" max="5071" width="88.5703125" style="39" customWidth="1"/>
    <col min="5072" max="5072" width="94.85546875" style="39" customWidth="1"/>
    <col min="5073" max="5073" width="74.28515625" style="39" customWidth="1"/>
    <col min="5074" max="5074" width="71.85546875" style="39" customWidth="1"/>
    <col min="5075" max="5075" width="67.85546875" style="39" customWidth="1"/>
    <col min="5076" max="5076" width="71" style="39" customWidth="1"/>
    <col min="5077" max="5077" width="82.85546875" style="39" customWidth="1"/>
    <col min="5078" max="5078" width="79.7109375" style="39" customWidth="1"/>
    <col min="5079" max="5079" width="87.5703125" style="39" customWidth="1"/>
    <col min="5080" max="5080" width="88.85546875" style="39" customWidth="1"/>
    <col min="5081" max="5081" width="35.85546875" style="39" customWidth="1"/>
    <col min="5082" max="5082" width="11.42578125" style="39"/>
    <col min="5083" max="5083" width="30.5703125" style="39" customWidth="1"/>
    <col min="5084" max="5324" width="11.42578125" style="39"/>
    <col min="5325" max="5325" width="255.140625" style="39" customWidth="1"/>
    <col min="5326" max="5326" width="83.7109375" style="39" customWidth="1"/>
    <col min="5327" max="5327" width="88.5703125" style="39" customWidth="1"/>
    <col min="5328" max="5328" width="94.85546875" style="39" customWidth="1"/>
    <col min="5329" max="5329" width="74.28515625" style="39" customWidth="1"/>
    <col min="5330" max="5330" width="71.85546875" style="39" customWidth="1"/>
    <col min="5331" max="5331" width="67.85546875" style="39" customWidth="1"/>
    <col min="5332" max="5332" width="71" style="39" customWidth="1"/>
    <col min="5333" max="5333" width="82.85546875" style="39" customWidth="1"/>
    <col min="5334" max="5334" width="79.7109375" style="39" customWidth="1"/>
    <col min="5335" max="5335" width="87.5703125" style="39" customWidth="1"/>
    <col min="5336" max="5336" width="88.85546875" style="39" customWidth="1"/>
    <col min="5337" max="5337" width="35.85546875" style="39" customWidth="1"/>
    <col min="5338" max="5338" width="11.42578125" style="39"/>
    <col min="5339" max="5339" width="30.5703125" style="39" customWidth="1"/>
    <col min="5340" max="5580" width="11.42578125" style="39"/>
    <col min="5581" max="5581" width="255.140625" style="39" customWidth="1"/>
    <col min="5582" max="5582" width="83.7109375" style="39" customWidth="1"/>
    <col min="5583" max="5583" width="88.5703125" style="39" customWidth="1"/>
    <col min="5584" max="5584" width="94.85546875" style="39" customWidth="1"/>
    <col min="5585" max="5585" width="74.28515625" style="39" customWidth="1"/>
    <col min="5586" max="5586" width="71.85546875" style="39" customWidth="1"/>
    <col min="5587" max="5587" width="67.85546875" style="39" customWidth="1"/>
    <col min="5588" max="5588" width="71" style="39" customWidth="1"/>
    <col min="5589" max="5589" width="82.85546875" style="39" customWidth="1"/>
    <col min="5590" max="5590" width="79.7109375" style="39" customWidth="1"/>
    <col min="5591" max="5591" width="87.5703125" style="39" customWidth="1"/>
    <col min="5592" max="5592" width="88.85546875" style="39" customWidth="1"/>
    <col min="5593" max="5593" width="35.85546875" style="39" customWidth="1"/>
    <col min="5594" max="5594" width="11.42578125" style="39"/>
    <col min="5595" max="5595" width="30.5703125" style="39" customWidth="1"/>
    <col min="5596" max="5836" width="11.42578125" style="39"/>
    <col min="5837" max="5837" width="255.140625" style="39" customWidth="1"/>
    <col min="5838" max="5838" width="83.7109375" style="39" customWidth="1"/>
    <col min="5839" max="5839" width="88.5703125" style="39" customWidth="1"/>
    <col min="5840" max="5840" width="94.85546875" style="39" customWidth="1"/>
    <col min="5841" max="5841" width="74.28515625" style="39" customWidth="1"/>
    <col min="5842" max="5842" width="71.85546875" style="39" customWidth="1"/>
    <col min="5843" max="5843" width="67.85546875" style="39" customWidth="1"/>
    <col min="5844" max="5844" width="71" style="39" customWidth="1"/>
    <col min="5845" max="5845" width="82.85546875" style="39" customWidth="1"/>
    <col min="5846" max="5846" width="79.7109375" style="39" customWidth="1"/>
    <col min="5847" max="5847" width="87.5703125" style="39" customWidth="1"/>
    <col min="5848" max="5848" width="88.85546875" style="39" customWidth="1"/>
    <col min="5849" max="5849" width="35.85546875" style="39" customWidth="1"/>
    <col min="5850" max="5850" width="11.42578125" style="39"/>
    <col min="5851" max="5851" width="30.5703125" style="39" customWidth="1"/>
    <col min="5852" max="6092" width="11.42578125" style="39"/>
    <col min="6093" max="6093" width="255.140625" style="39" customWidth="1"/>
    <col min="6094" max="6094" width="83.7109375" style="39" customWidth="1"/>
    <col min="6095" max="6095" width="88.5703125" style="39" customWidth="1"/>
    <col min="6096" max="6096" width="94.85546875" style="39" customWidth="1"/>
    <col min="6097" max="6097" width="74.28515625" style="39" customWidth="1"/>
    <col min="6098" max="6098" width="71.85546875" style="39" customWidth="1"/>
    <col min="6099" max="6099" width="67.85546875" style="39" customWidth="1"/>
    <col min="6100" max="6100" width="71" style="39" customWidth="1"/>
    <col min="6101" max="6101" width="82.85546875" style="39" customWidth="1"/>
    <col min="6102" max="6102" width="79.7109375" style="39" customWidth="1"/>
    <col min="6103" max="6103" width="87.5703125" style="39" customWidth="1"/>
    <col min="6104" max="6104" width="88.85546875" style="39" customWidth="1"/>
    <col min="6105" max="6105" width="35.85546875" style="39" customWidth="1"/>
    <col min="6106" max="6106" width="11.42578125" style="39"/>
    <col min="6107" max="6107" width="30.5703125" style="39" customWidth="1"/>
    <col min="6108" max="6348" width="11.42578125" style="39"/>
    <col min="6349" max="6349" width="255.140625" style="39" customWidth="1"/>
    <col min="6350" max="6350" width="83.7109375" style="39" customWidth="1"/>
    <col min="6351" max="6351" width="88.5703125" style="39" customWidth="1"/>
    <col min="6352" max="6352" width="94.85546875" style="39" customWidth="1"/>
    <col min="6353" max="6353" width="74.28515625" style="39" customWidth="1"/>
    <col min="6354" max="6354" width="71.85546875" style="39" customWidth="1"/>
    <col min="6355" max="6355" width="67.85546875" style="39" customWidth="1"/>
    <col min="6356" max="6356" width="71" style="39" customWidth="1"/>
    <col min="6357" max="6357" width="82.85546875" style="39" customWidth="1"/>
    <col min="6358" max="6358" width="79.7109375" style="39" customWidth="1"/>
    <col min="6359" max="6359" width="87.5703125" style="39" customWidth="1"/>
    <col min="6360" max="6360" width="88.85546875" style="39" customWidth="1"/>
    <col min="6361" max="6361" width="35.85546875" style="39" customWidth="1"/>
    <col min="6362" max="6362" width="11.42578125" style="39"/>
    <col min="6363" max="6363" width="30.5703125" style="39" customWidth="1"/>
    <col min="6364" max="6604" width="11.42578125" style="39"/>
    <col min="6605" max="6605" width="255.140625" style="39" customWidth="1"/>
    <col min="6606" max="6606" width="83.7109375" style="39" customWidth="1"/>
    <col min="6607" max="6607" width="88.5703125" style="39" customWidth="1"/>
    <col min="6608" max="6608" width="94.85546875" style="39" customWidth="1"/>
    <col min="6609" max="6609" width="74.28515625" style="39" customWidth="1"/>
    <col min="6610" max="6610" width="71.85546875" style="39" customWidth="1"/>
    <col min="6611" max="6611" width="67.85546875" style="39" customWidth="1"/>
    <col min="6612" max="6612" width="71" style="39" customWidth="1"/>
    <col min="6613" max="6613" width="82.85546875" style="39" customWidth="1"/>
    <col min="6614" max="6614" width="79.7109375" style="39" customWidth="1"/>
    <col min="6615" max="6615" width="87.5703125" style="39" customWidth="1"/>
    <col min="6616" max="6616" width="88.85546875" style="39" customWidth="1"/>
    <col min="6617" max="6617" width="35.85546875" style="39" customWidth="1"/>
    <col min="6618" max="6618" width="11.42578125" style="39"/>
    <col min="6619" max="6619" width="30.5703125" style="39" customWidth="1"/>
    <col min="6620" max="6860" width="11.42578125" style="39"/>
    <col min="6861" max="6861" width="255.140625" style="39" customWidth="1"/>
    <col min="6862" max="6862" width="83.7109375" style="39" customWidth="1"/>
    <col min="6863" max="6863" width="88.5703125" style="39" customWidth="1"/>
    <col min="6864" max="6864" width="94.85546875" style="39" customWidth="1"/>
    <col min="6865" max="6865" width="74.28515625" style="39" customWidth="1"/>
    <col min="6866" max="6866" width="71.85546875" style="39" customWidth="1"/>
    <col min="6867" max="6867" width="67.85546875" style="39" customWidth="1"/>
    <col min="6868" max="6868" width="71" style="39" customWidth="1"/>
    <col min="6869" max="6869" width="82.85546875" style="39" customWidth="1"/>
    <col min="6870" max="6870" width="79.7109375" style="39" customWidth="1"/>
    <col min="6871" max="6871" width="87.5703125" style="39" customWidth="1"/>
    <col min="6872" max="6872" width="88.85546875" style="39" customWidth="1"/>
    <col min="6873" max="6873" width="35.85546875" style="39" customWidth="1"/>
    <col min="6874" max="6874" width="11.42578125" style="39"/>
    <col min="6875" max="6875" width="30.5703125" style="39" customWidth="1"/>
    <col min="6876" max="7116" width="11.42578125" style="39"/>
    <col min="7117" max="7117" width="255.140625" style="39" customWidth="1"/>
    <col min="7118" max="7118" width="83.7109375" style="39" customWidth="1"/>
    <col min="7119" max="7119" width="88.5703125" style="39" customWidth="1"/>
    <col min="7120" max="7120" width="94.85546875" style="39" customWidth="1"/>
    <col min="7121" max="7121" width="74.28515625" style="39" customWidth="1"/>
    <col min="7122" max="7122" width="71.85546875" style="39" customWidth="1"/>
    <col min="7123" max="7123" width="67.85546875" style="39" customWidth="1"/>
    <col min="7124" max="7124" width="71" style="39" customWidth="1"/>
    <col min="7125" max="7125" width="82.85546875" style="39" customWidth="1"/>
    <col min="7126" max="7126" width="79.7109375" style="39" customWidth="1"/>
    <col min="7127" max="7127" width="87.5703125" style="39" customWidth="1"/>
    <col min="7128" max="7128" width="88.85546875" style="39" customWidth="1"/>
    <col min="7129" max="7129" width="35.85546875" style="39" customWidth="1"/>
    <col min="7130" max="7130" width="11.42578125" style="39"/>
    <col min="7131" max="7131" width="30.5703125" style="39" customWidth="1"/>
    <col min="7132" max="7372" width="11.42578125" style="39"/>
    <col min="7373" max="7373" width="255.140625" style="39" customWidth="1"/>
    <col min="7374" max="7374" width="83.7109375" style="39" customWidth="1"/>
    <col min="7375" max="7375" width="88.5703125" style="39" customWidth="1"/>
    <col min="7376" max="7376" width="94.85546875" style="39" customWidth="1"/>
    <col min="7377" max="7377" width="74.28515625" style="39" customWidth="1"/>
    <col min="7378" max="7378" width="71.85546875" style="39" customWidth="1"/>
    <col min="7379" max="7379" width="67.85546875" style="39" customWidth="1"/>
    <col min="7380" max="7380" width="71" style="39" customWidth="1"/>
    <col min="7381" max="7381" width="82.85546875" style="39" customWidth="1"/>
    <col min="7382" max="7382" width="79.7109375" style="39" customWidth="1"/>
    <col min="7383" max="7383" width="87.5703125" style="39" customWidth="1"/>
    <col min="7384" max="7384" width="88.85546875" style="39" customWidth="1"/>
    <col min="7385" max="7385" width="35.85546875" style="39" customWidth="1"/>
    <col min="7386" max="7386" width="11.42578125" style="39"/>
    <col min="7387" max="7387" width="30.5703125" style="39" customWidth="1"/>
    <col min="7388" max="7628" width="11.42578125" style="39"/>
    <col min="7629" max="7629" width="255.140625" style="39" customWidth="1"/>
    <col min="7630" max="7630" width="83.7109375" style="39" customWidth="1"/>
    <col min="7631" max="7631" width="88.5703125" style="39" customWidth="1"/>
    <col min="7632" max="7632" width="94.85546875" style="39" customWidth="1"/>
    <col min="7633" max="7633" width="74.28515625" style="39" customWidth="1"/>
    <col min="7634" max="7634" width="71.85546875" style="39" customWidth="1"/>
    <col min="7635" max="7635" width="67.85546875" style="39" customWidth="1"/>
    <col min="7636" max="7636" width="71" style="39" customWidth="1"/>
    <col min="7637" max="7637" width="82.85546875" style="39" customWidth="1"/>
    <col min="7638" max="7638" width="79.7109375" style="39" customWidth="1"/>
    <col min="7639" max="7639" width="87.5703125" style="39" customWidth="1"/>
    <col min="7640" max="7640" width="88.85546875" style="39" customWidth="1"/>
    <col min="7641" max="7641" width="35.85546875" style="39" customWidth="1"/>
    <col min="7642" max="7642" width="11.42578125" style="39"/>
    <col min="7643" max="7643" width="30.5703125" style="39" customWidth="1"/>
    <col min="7644" max="7884" width="11.42578125" style="39"/>
    <col min="7885" max="7885" width="255.140625" style="39" customWidth="1"/>
    <col min="7886" max="7886" width="83.7109375" style="39" customWidth="1"/>
    <col min="7887" max="7887" width="88.5703125" style="39" customWidth="1"/>
    <col min="7888" max="7888" width="94.85546875" style="39" customWidth="1"/>
    <col min="7889" max="7889" width="74.28515625" style="39" customWidth="1"/>
    <col min="7890" max="7890" width="71.85546875" style="39" customWidth="1"/>
    <col min="7891" max="7891" width="67.85546875" style="39" customWidth="1"/>
    <col min="7892" max="7892" width="71" style="39" customWidth="1"/>
    <col min="7893" max="7893" width="82.85546875" style="39" customWidth="1"/>
    <col min="7894" max="7894" width="79.7109375" style="39" customWidth="1"/>
    <col min="7895" max="7895" width="87.5703125" style="39" customWidth="1"/>
    <col min="7896" max="7896" width="88.85546875" style="39" customWidth="1"/>
    <col min="7897" max="7897" width="35.85546875" style="39" customWidth="1"/>
    <col min="7898" max="7898" width="11.42578125" style="39"/>
    <col min="7899" max="7899" width="30.5703125" style="39" customWidth="1"/>
    <col min="7900" max="8140" width="11.42578125" style="39"/>
    <col min="8141" max="8141" width="255.140625" style="39" customWidth="1"/>
    <col min="8142" max="8142" width="83.7109375" style="39" customWidth="1"/>
    <col min="8143" max="8143" width="88.5703125" style="39" customWidth="1"/>
    <col min="8144" max="8144" width="94.85546875" style="39" customWidth="1"/>
    <col min="8145" max="8145" width="74.28515625" style="39" customWidth="1"/>
    <col min="8146" max="8146" width="71.85546875" style="39" customWidth="1"/>
    <col min="8147" max="8147" width="67.85546875" style="39" customWidth="1"/>
    <col min="8148" max="8148" width="71" style="39" customWidth="1"/>
    <col min="8149" max="8149" width="82.85546875" style="39" customWidth="1"/>
    <col min="8150" max="8150" width="79.7109375" style="39" customWidth="1"/>
    <col min="8151" max="8151" width="87.5703125" style="39" customWidth="1"/>
    <col min="8152" max="8152" width="88.85546875" style="39" customWidth="1"/>
    <col min="8153" max="8153" width="35.85546875" style="39" customWidth="1"/>
    <col min="8154" max="8154" width="11.42578125" style="39"/>
    <col min="8155" max="8155" width="30.5703125" style="39" customWidth="1"/>
    <col min="8156" max="8396" width="11.42578125" style="39"/>
    <col min="8397" max="8397" width="255.140625" style="39" customWidth="1"/>
    <col min="8398" max="8398" width="83.7109375" style="39" customWidth="1"/>
    <col min="8399" max="8399" width="88.5703125" style="39" customWidth="1"/>
    <col min="8400" max="8400" width="94.85546875" style="39" customWidth="1"/>
    <col min="8401" max="8401" width="74.28515625" style="39" customWidth="1"/>
    <col min="8402" max="8402" width="71.85546875" style="39" customWidth="1"/>
    <col min="8403" max="8403" width="67.85546875" style="39" customWidth="1"/>
    <col min="8404" max="8404" width="71" style="39" customWidth="1"/>
    <col min="8405" max="8405" width="82.85546875" style="39" customWidth="1"/>
    <col min="8406" max="8406" width="79.7109375" style="39" customWidth="1"/>
    <col min="8407" max="8407" width="87.5703125" style="39" customWidth="1"/>
    <col min="8408" max="8408" width="88.85546875" style="39" customWidth="1"/>
    <col min="8409" max="8409" width="35.85546875" style="39" customWidth="1"/>
    <col min="8410" max="8410" width="11.42578125" style="39"/>
    <col min="8411" max="8411" width="30.5703125" style="39" customWidth="1"/>
    <col min="8412" max="8652" width="11.42578125" style="39"/>
    <col min="8653" max="8653" width="255.140625" style="39" customWidth="1"/>
    <col min="8654" max="8654" width="83.7109375" style="39" customWidth="1"/>
    <col min="8655" max="8655" width="88.5703125" style="39" customWidth="1"/>
    <col min="8656" max="8656" width="94.85546875" style="39" customWidth="1"/>
    <col min="8657" max="8657" width="74.28515625" style="39" customWidth="1"/>
    <col min="8658" max="8658" width="71.85546875" style="39" customWidth="1"/>
    <col min="8659" max="8659" width="67.85546875" style="39" customWidth="1"/>
    <col min="8660" max="8660" width="71" style="39" customWidth="1"/>
    <col min="8661" max="8661" width="82.85546875" style="39" customWidth="1"/>
    <col min="8662" max="8662" width="79.7109375" style="39" customWidth="1"/>
    <col min="8663" max="8663" width="87.5703125" style="39" customWidth="1"/>
    <col min="8664" max="8664" width="88.85546875" style="39" customWidth="1"/>
    <col min="8665" max="8665" width="35.85546875" style="39" customWidth="1"/>
    <col min="8666" max="8666" width="11.42578125" style="39"/>
    <col min="8667" max="8667" width="30.5703125" style="39" customWidth="1"/>
    <col min="8668" max="8908" width="11.42578125" style="39"/>
    <col min="8909" max="8909" width="255.140625" style="39" customWidth="1"/>
    <col min="8910" max="8910" width="83.7109375" style="39" customWidth="1"/>
    <col min="8911" max="8911" width="88.5703125" style="39" customWidth="1"/>
    <col min="8912" max="8912" width="94.85546875" style="39" customWidth="1"/>
    <col min="8913" max="8913" width="74.28515625" style="39" customWidth="1"/>
    <col min="8914" max="8914" width="71.85546875" style="39" customWidth="1"/>
    <col min="8915" max="8915" width="67.85546875" style="39" customWidth="1"/>
    <col min="8916" max="8916" width="71" style="39" customWidth="1"/>
    <col min="8917" max="8917" width="82.85546875" style="39" customWidth="1"/>
    <col min="8918" max="8918" width="79.7109375" style="39" customWidth="1"/>
    <col min="8919" max="8919" width="87.5703125" style="39" customWidth="1"/>
    <col min="8920" max="8920" width="88.85546875" style="39" customWidth="1"/>
    <col min="8921" max="8921" width="35.85546875" style="39" customWidth="1"/>
    <col min="8922" max="8922" width="11.42578125" style="39"/>
    <col min="8923" max="8923" width="30.5703125" style="39" customWidth="1"/>
    <col min="8924" max="9164" width="11.42578125" style="39"/>
    <col min="9165" max="9165" width="255.140625" style="39" customWidth="1"/>
    <col min="9166" max="9166" width="83.7109375" style="39" customWidth="1"/>
    <col min="9167" max="9167" width="88.5703125" style="39" customWidth="1"/>
    <col min="9168" max="9168" width="94.85546875" style="39" customWidth="1"/>
    <col min="9169" max="9169" width="74.28515625" style="39" customWidth="1"/>
    <col min="9170" max="9170" width="71.85546875" style="39" customWidth="1"/>
    <col min="9171" max="9171" width="67.85546875" style="39" customWidth="1"/>
    <col min="9172" max="9172" width="71" style="39" customWidth="1"/>
    <col min="9173" max="9173" width="82.85546875" style="39" customWidth="1"/>
    <col min="9174" max="9174" width="79.7109375" style="39" customWidth="1"/>
    <col min="9175" max="9175" width="87.5703125" style="39" customWidth="1"/>
    <col min="9176" max="9176" width="88.85546875" style="39" customWidth="1"/>
    <col min="9177" max="9177" width="35.85546875" style="39" customWidth="1"/>
    <col min="9178" max="9178" width="11.42578125" style="39"/>
    <col min="9179" max="9179" width="30.5703125" style="39" customWidth="1"/>
    <col min="9180" max="9420" width="11.42578125" style="39"/>
    <col min="9421" max="9421" width="255.140625" style="39" customWidth="1"/>
    <col min="9422" max="9422" width="83.7109375" style="39" customWidth="1"/>
    <col min="9423" max="9423" width="88.5703125" style="39" customWidth="1"/>
    <col min="9424" max="9424" width="94.85546875" style="39" customWidth="1"/>
    <col min="9425" max="9425" width="74.28515625" style="39" customWidth="1"/>
    <col min="9426" max="9426" width="71.85546875" style="39" customWidth="1"/>
    <col min="9427" max="9427" width="67.85546875" style="39" customWidth="1"/>
    <col min="9428" max="9428" width="71" style="39" customWidth="1"/>
    <col min="9429" max="9429" width="82.85546875" style="39" customWidth="1"/>
    <col min="9430" max="9430" width="79.7109375" style="39" customWidth="1"/>
    <col min="9431" max="9431" width="87.5703125" style="39" customWidth="1"/>
    <col min="9432" max="9432" width="88.85546875" style="39" customWidth="1"/>
    <col min="9433" max="9433" width="35.85546875" style="39" customWidth="1"/>
    <col min="9434" max="9434" width="11.42578125" style="39"/>
    <col min="9435" max="9435" width="30.5703125" style="39" customWidth="1"/>
    <col min="9436" max="9676" width="11.42578125" style="39"/>
    <col min="9677" max="9677" width="255.140625" style="39" customWidth="1"/>
    <col min="9678" max="9678" width="83.7109375" style="39" customWidth="1"/>
    <col min="9679" max="9679" width="88.5703125" style="39" customWidth="1"/>
    <col min="9680" max="9680" width="94.85546875" style="39" customWidth="1"/>
    <col min="9681" max="9681" width="74.28515625" style="39" customWidth="1"/>
    <col min="9682" max="9682" width="71.85546875" style="39" customWidth="1"/>
    <col min="9683" max="9683" width="67.85546875" style="39" customWidth="1"/>
    <col min="9684" max="9684" width="71" style="39" customWidth="1"/>
    <col min="9685" max="9685" width="82.85546875" style="39" customWidth="1"/>
    <col min="9686" max="9686" width="79.7109375" style="39" customWidth="1"/>
    <col min="9687" max="9687" width="87.5703125" style="39" customWidth="1"/>
    <col min="9688" max="9688" width="88.85546875" style="39" customWidth="1"/>
    <col min="9689" max="9689" width="35.85546875" style="39" customWidth="1"/>
    <col min="9690" max="9690" width="11.42578125" style="39"/>
    <col min="9691" max="9691" width="30.5703125" style="39" customWidth="1"/>
    <col min="9692" max="9932" width="11.42578125" style="39"/>
    <col min="9933" max="9933" width="255.140625" style="39" customWidth="1"/>
    <col min="9934" max="9934" width="83.7109375" style="39" customWidth="1"/>
    <col min="9935" max="9935" width="88.5703125" style="39" customWidth="1"/>
    <col min="9936" max="9936" width="94.85546875" style="39" customWidth="1"/>
    <col min="9937" max="9937" width="74.28515625" style="39" customWidth="1"/>
    <col min="9938" max="9938" width="71.85546875" style="39" customWidth="1"/>
    <col min="9939" max="9939" width="67.85546875" style="39" customWidth="1"/>
    <col min="9940" max="9940" width="71" style="39" customWidth="1"/>
    <col min="9941" max="9941" width="82.85546875" style="39" customWidth="1"/>
    <col min="9942" max="9942" width="79.7109375" style="39" customWidth="1"/>
    <col min="9943" max="9943" width="87.5703125" style="39" customWidth="1"/>
    <col min="9944" max="9944" width="88.85546875" style="39" customWidth="1"/>
    <col min="9945" max="9945" width="35.85546875" style="39" customWidth="1"/>
    <col min="9946" max="9946" width="11.42578125" style="39"/>
    <col min="9947" max="9947" width="30.5703125" style="39" customWidth="1"/>
    <col min="9948" max="10188" width="11.42578125" style="39"/>
    <col min="10189" max="10189" width="255.140625" style="39" customWidth="1"/>
    <col min="10190" max="10190" width="83.7109375" style="39" customWidth="1"/>
    <col min="10191" max="10191" width="88.5703125" style="39" customWidth="1"/>
    <col min="10192" max="10192" width="94.85546875" style="39" customWidth="1"/>
    <col min="10193" max="10193" width="74.28515625" style="39" customWidth="1"/>
    <col min="10194" max="10194" width="71.85546875" style="39" customWidth="1"/>
    <col min="10195" max="10195" width="67.85546875" style="39" customWidth="1"/>
    <col min="10196" max="10196" width="71" style="39" customWidth="1"/>
    <col min="10197" max="10197" width="82.85546875" style="39" customWidth="1"/>
    <col min="10198" max="10198" width="79.7109375" style="39" customWidth="1"/>
    <col min="10199" max="10199" width="87.5703125" style="39" customWidth="1"/>
    <col min="10200" max="10200" width="88.85546875" style="39" customWidth="1"/>
    <col min="10201" max="10201" width="35.85546875" style="39" customWidth="1"/>
    <col min="10202" max="10202" width="11.42578125" style="39"/>
    <col min="10203" max="10203" width="30.5703125" style="39" customWidth="1"/>
    <col min="10204" max="10444" width="11.42578125" style="39"/>
    <col min="10445" max="10445" width="255.140625" style="39" customWidth="1"/>
    <col min="10446" max="10446" width="83.7109375" style="39" customWidth="1"/>
    <col min="10447" max="10447" width="88.5703125" style="39" customWidth="1"/>
    <col min="10448" max="10448" width="94.85546875" style="39" customWidth="1"/>
    <col min="10449" max="10449" width="74.28515625" style="39" customWidth="1"/>
    <col min="10450" max="10450" width="71.85546875" style="39" customWidth="1"/>
    <col min="10451" max="10451" width="67.85546875" style="39" customWidth="1"/>
    <col min="10452" max="10452" width="71" style="39" customWidth="1"/>
    <col min="10453" max="10453" width="82.85546875" style="39" customWidth="1"/>
    <col min="10454" max="10454" width="79.7109375" style="39" customWidth="1"/>
    <col min="10455" max="10455" width="87.5703125" style="39" customWidth="1"/>
    <col min="10456" max="10456" width="88.85546875" style="39" customWidth="1"/>
    <col min="10457" max="10457" width="35.85546875" style="39" customWidth="1"/>
    <col min="10458" max="10458" width="11.42578125" style="39"/>
    <col min="10459" max="10459" width="30.5703125" style="39" customWidth="1"/>
    <col min="10460" max="10700" width="11.42578125" style="39"/>
    <col min="10701" max="10701" width="255.140625" style="39" customWidth="1"/>
    <col min="10702" max="10702" width="83.7109375" style="39" customWidth="1"/>
    <col min="10703" max="10703" width="88.5703125" style="39" customWidth="1"/>
    <col min="10704" max="10704" width="94.85546875" style="39" customWidth="1"/>
    <col min="10705" max="10705" width="74.28515625" style="39" customWidth="1"/>
    <col min="10706" max="10706" width="71.85546875" style="39" customWidth="1"/>
    <col min="10707" max="10707" width="67.85546875" style="39" customWidth="1"/>
    <col min="10708" max="10708" width="71" style="39" customWidth="1"/>
    <col min="10709" max="10709" width="82.85546875" style="39" customWidth="1"/>
    <col min="10710" max="10710" width="79.7109375" style="39" customWidth="1"/>
    <col min="10711" max="10711" width="87.5703125" style="39" customWidth="1"/>
    <col min="10712" max="10712" width="88.85546875" style="39" customWidth="1"/>
    <col min="10713" max="10713" width="35.85546875" style="39" customWidth="1"/>
    <col min="10714" max="10714" width="11.42578125" style="39"/>
    <col min="10715" max="10715" width="30.5703125" style="39" customWidth="1"/>
    <col min="10716" max="10956" width="11.42578125" style="39"/>
    <col min="10957" max="10957" width="255.140625" style="39" customWidth="1"/>
    <col min="10958" max="10958" width="83.7109375" style="39" customWidth="1"/>
    <col min="10959" max="10959" width="88.5703125" style="39" customWidth="1"/>
    <col min="10960" max="10960" width="94.85546875" style="39" customWidth="1"/>
    <col min="10961" max="10961" width="74.28515625" style="39" customWidth="1"/>
    <col min="10962" max="10962" width="71.85546875" style="39" customWidth="1"/>
    <col min="10963" max="10963" width="67.85546875" style="39" customWidth="1"/>
    <col min="10964" max="10964" width="71" style="39" customWidth="1"/>
    <col min="10965" max="10965" width="82.85546875" style="39" customWidth="1"/>
    <col min="10966" max="10966" width="79.7109375" style="39" customWidth="1"/>
    <col min="10967" max="10967" width="87.5703125" style="39" customWidth="1"/>
    <col min="10968" max="10968" width="88.85546875" style="39" customWidth="1"/>
    <col min="10969" max="10969" width="35.85546875" style="39" customWidth="1"/>
    <col min="10970" max="10970" width="11.42578125" style="39"/>
    <col min="10971" max="10971" width="30.5703125" style="39" customWidth="1"/>
    <col min="10972" max="11212" width="11.42578125" style="39"/>
    <col min="11213" max="11213" width="255.140625" style="39" customWidth="1"/>
    <col min="11214" max="11214" width="83.7109375" style="39" customWidth="1"/>
    <col min="11215" max="11215" width="88.5703125" style="39" customWidth="1"/>
    <col min="11216" max="11216" width="94.85546875" style="39" customWidth="1"/>
    <col min="11217" max="11217" width="74.28515625" style="39" customWidth="1"/>
    <col min="11218" max="11218" width="71.85546875" style="39" customWidth="1"/>
    <col min="11219" max="11219" width="67.85546875" style="39" customWidth="1"/>
    <col min="11220" max="11220" width="71" style="39" customWidth="1"/>
    <col min="11221" max="11221" width="82.85546875" style="39" customWidth="1"/>
    <col min="11222" max="11222" width="79.7109375" style="39" customWidth="1"/>
    <col min="11223" max="11223" width="87.5703125" style="39" customWidth="1"/>
    <col min="11224" max="11224" width="88.85546875" style="39" customWidth="1"/>
    <col min="11225" max="11225" width="35.85546875" style="39" customWidth="1"/>
    <col min="11226" max="11226" width="11.42578125" style="39"/>
    <col min="11227" max="11227" width="30.5703125" style="39" customWidth="1"/>
    <col min="11228" max="11468" width="11.42578125" style="39"/>
    <col min="11469" max="11469" width="255.140625" style="39" customWidth="1"/>
    <col min="11470" max="11470" width="83.7109375" style="39" customWidth="1"/>
    <col min="11471" max="11471" width="88.5703125" style="39" customWidth="1"/>
    <col min="11472" max="11472" width="94.85546875" style="39" customWidth="1"/>
    <col min="11473" max="11473" width="74.28515625" style="39" customWidth="1"/>
    <col min="11474" max="11474" width="71.85546875" style="39" customWidth="1"/>
    <col min="11475" max="11475" width="67.85546875" style="39" customWidth="1"/>
    <col min="11476" max="11476" width="71" style="39" customWidth="1"/>
    <col min="11477" max="11477" width="82.85546875" style="39" customWidth="1"/>
    <col min="11478" max="11478" width="79.7109375" style="39" customWidth="1"/>
    <col min="11479" max="11479" width="87.5703125" style="39" customWidth="1"/>
    <col min="11480" max="11480" width="88.85546875" style="39" customWidth="1"/>
    <col min="11481" max="11481" width="35.85546875" style="39" customWidth="1"/>
    <col min="11482" max="11482" width="11.42578125" style="39"/>
    <col min="11483" max="11483" width="30.5703125" style="39" customWidth="1"/>
    <col min="11484" max="11724" width="11.42578125" style="39"/>
    <col min="11725" max="11725" width="255.140625" style="39" customWidth="1"/>
    <col min="11726" max="11726" width="83.7109375" style="39" customWidth="1"/>
    <col min="11727" max="11727" width="88.5703125" style="39" customWidth="1"/>
    <col min="11728" max="11728" width="94.85546875" style="39" customWidth="1"/>
    <col min="11729" max="11729" width="74.28515625" style="39" customWidth="1"/>
    <col min="11730" max="11730" width="71.85546875" style="39" customWidth="1"/>
    <col min="11731" max="11731" width="67.85546875" style="39" customWidth="1"/>
    <col min="11732" max="11732" width="71" style="39" customWidth="1"/>
    <col min="11733" max="11733" width="82.85546875" style="39" customWidth="1"/>
    <col min="11734" max="11734" width="79.7109375" style="39" customWidth="1"/>
    <col min="11735" max="11735" width="87.5703125" style="39" customWidth="1"/>
    <col min="11736" max="11736" width="88.85546875" style="39" customWidth="1"/>
    <col min="11737" max="11737" width="35.85546875" style="39" customWidth="1"/>
    <col min="11738" max="11738" width="11.42578125" style="39"/>
    <col min="11739" max="11739" width="30.5703125" style="39" customWidth="1"/>
    <col min="11740" max="11980" width="11.42578125" style="39"/>
    <col min="11981" max="11981" width="255.140625" style="39" customWidth="1"/>
    <col min="11982" max="11982" width="83.7109375" style="39" customWidth="1"/>
    <col min="11983" max="11983" width="88.5703125" style="39" customWidth="1"/>
    <col min="11984" max="11984" width="94.85546875" style="39" customWidth="1"/>
    <col min="11985" max="11985" width="74.28515625" style="39" customWidth="1"/>
    <col min="11986" max="11986" width="71.85546875" style="39" customWidth="1"/>
    <col min="11987" max="11987" width="67.85546875" style="39" customWidth="1"/>
    <col min="11988" max="11988" width="71" style="39" customWidth="1"/>
    <col min="11989" max="11989" width="82.85546875" style="39" customWidth="1"/>
    <col min="11990" max="11990" width="79.7109375" style="39" customWidth="1"/>
    <col min="11991" max="11991" width="87.5703125" style="39" customWidth="1"/>
    <col min="11992" max="11992" width="88.85546875" style="39" customWidth="1"/>
    <col min="11993" max="11993" width="35.85546875" style="39" customWidth="1"/>
    <col min="11994" max="11994" width="11.42578125" style="39"/>
    <col min="11995" max="11995" width="30.5703125" style="39" customWidth="1"/>
    <col min="11996" max="12236" width="11.42578125" style="39"/>
    <col min="12237" max="12237" width="255.140625" style="39" customWidth="1"/>
    <col min="12238" max="12238" width="83.7109375" style="39" customWidth="1"/>
    <col min="12239" max="12239" width="88.5703125" style="39" customWidth="1"/>
    <col min="12240" max="12240" width="94.85546875" style="39" customWidth="1"/>
    <col min="12241" max="12241" width="74.28515625" style="39" customWidth="1"/>
    <col min="12242" max="12242" width="71.85546875" style="39" customWidth="1"/>
    <col min="12243" max="12243" width="67.85546875" style="39" customWidth="1"/>
    <col min="12244" max="12244" width="71" style="39" customWidth="1"/>
    <col min="12245" max="12245" width="82.85546875" style="39" customWidth="1"/>
    <col min="12246" max="12246" width="79.7109375" style="39" customWidth="1"/>
    <col min="12247" max="12247" width="87.5703125" style="39" customWidth="1"/>
    <col min="12248" max="12248" width="88.85546875" style="39" customWidth="1"/>
    <col min="12249" max="12249" width="35.85546875" style="39" customWidth="1"/>
    <col min="12250" max="12250" width="11.42578125" style="39"/>
    <col min="12251" max="12251" width="30.5703125" style="39" customWidth="1"/>
    <col min="12252" max="12492" width="11.42578125" style="39"/>
    <col min="12493" max="12493" width="255.140625" style="39" customWidth="1"/>
    <col min="12494" max="12494" width="83.7109375" style="39" customWidth="1"/>
    <col min="12495" max="12495" width="88.5703125" style="39" customWidth="1"/>
    <col min="12496" max="12496" width="94.85546875" style="39" customWidth="1"/>
    <col min="12497" max="12497" width="74.28515625" style="39" customWidth="1"/>
    <col min="12498" max="12498" width="71.85546875" style="39" customWidth="1"/>
    <col min="12499" max="12499" width="67.85546875" style="39" customWidth="1"/>
    <col min="12500" max="12500" width="71" style="39" customWidth="1"/>
    <col min="12501" max="12501" width="82.85546875" style="39" customWidth="1"/>
    <col min="12502" max="12502" width="79.7109375" style="39" customWidth="1"/>
    <col min="12503" max="12503" width="87.5703125" style="39" customWidth="1"/>
    <col min="12504" max="12504" width="88.85546875" style="39" customWidth="1"/>
    <col min="12505" max="12505" width="35.85546875" style="39" customWidth="1"/>
    <col min="12506" max="12506" width="11.42578125" style="39"/>
    <col min="12507" max="12507" width="30.5703125" style="39" customWidth="1"/>
    <col min="12508" max="12748" width="11.42578125" style="39"/>
    <col min="12749" max="12749" width="255.140625" style="39" customWidth="1"/>
    <col min="12750" max="12750" width="83.7109375" style="39" customWidth="1"/>
    <col min="12751" max="12751" width="88.5703125" style="39" customWidth="1"/>
    <col min="12752" max="12752" width="94.85546875" style="39" customWidth="1"/>
    <col min="12753" max="12753" width="74.28515625" style="39" customWidth="1"/>
    <col min="12754" max="12754" width="71.85546875" style="39" customWidth="1"/>
    <col min="12755" max="12755" width="67.85546875" style="39" customWidth="1"/>
    <col min="12756" max="12756" width="71" style="39" customWidth="1"/>
    <col min="12757" max="12757" width="82.85546875" style="39" customWidth="1"/>
    <col min="12758" max="12758" width="79.7109375" style="39" customWidth="1"/>
    <col min="12759" max="12759" width="87.5703125" style="39" customWidth="1"/>
    <col min="12760" max="12760" width="88.85546875" style="39" customWidth="1"/>
    <col min="12761" max="12761" width="35.85546875" style="39" customWidth="1"/>
    <col min="12762" max="12762" width="11.42578125" style="39"/>
    <col min="12763" max="12763" width="30.5703125" style="39" customWidth="1"/>
    <col min="12764" max="13004" width="11.42578125" style="39"/>
    <col min="13005" max="13005" width="255.140625" style="39" customWidth="1"/>
    <col min="13006" max="13006" width="83.7109375" style="39" customWidth="1"/>
    <col min="13007" max="13007" width="88.5703125" style="39" customWidth="1"/>
    <col min="13008" max="13008" width="94.85546875" style="39" customWidth="1"/>
    <col min="13009" max="13009" width="74.28515625" style="39" customWidth="1"/>
    <col min="13010" max="13010" width="71.85546875" style="39" customWidth="1"/>
    <col min="13011" max="13011" width="67.85546875" style="39" customWidth="1"/>
    <col min="13012" max="13012" width="71" style="39" customWidth="1"/>
    <col min="13013" max="13013" width="82.85546875" style="39" customWidth="1"/>
    <col min="13014" max="13014" width="79.7109375" style="39" customWidth="1"/>
    <col min="13015" max="13015" width="87.5703125" style="39" customWidth="1"/>
    <col min="13016" max="13016" width="88.85546875" style="39" customWidth="1"/>
    <col min="13017" max="13017" width="35.85546875" style="39" customWidth="1"/>
    <col min="13018" max="13018" width="11.42578125" style="39"/>
    <col min="13019" max="13019" width="30.5703125" style="39" customWidth="1"/>
    <col min="13020" max="13260" width="11.42578125" style="39"/>
    <col min="13261" max="13261" width="255.140625" style="39" customWidth="1"/>
    <col min="13262" max="13262" width="83.7109375" style="39" customWidth="1"/>
    <col min="13263" max="13263" width="88.5703125" style="39" customWidth="1"/>
    <col min="13264" max="13264" width="94.85546875" style="39" customWidth="1"/>
    <col min="13265" max="13265" width="74.28515625" style="39" customWidth="1"/>
    <col min="13266" max="13266" width="71.85546875" style="39" customWidth="1"/>
    <col min="13267" max="13267" width="67.85546875" style="39" customWidth="1"/>
    <col min="13268" max="13268" width="71" style="39" customWidth="1"/>
    <col min="13269" max="13269" width="82.85546875" style="39" customWidth="1"/>
    <col min="13270" max="13270" width="79.7109375" style="39" customWidth="1"/>
    <col min="13271" max="13271" width="87.5703125" style="39" customWidth="1"/>
    <col min="13272" max="13272" width="88.85546875" style="39" customWidth="1"/>
    <col min="13273" max="13273" width="35.85546875" style="39" customWidth="1"/>
    <col min="13274" max="13274" width="11.42578125" style="39"/>
    <col min="13275" max="13275" width="30.5703125" style="39" customWidth="1"/>
    <col min="13276" max="13516" width="11.42578125" style="39"/>
    <col min="13517" max="13517" width="255.140625" style="39" customWidth="1"/>
    <col min="13518" max="13518" width="83.7109375" style="39" customWidth="1"/>
    <col min="13519" max="13519" width="88.5703125" style="39" customWidth="1"/>
    <col min="13520" max="13520" width="94.85546875" style="39" customWidth="1"/>
    <col min="13521" max="13521" width="74.28515625" style="39" customWidth="1"/>
    <col min="13522" max="13522" width="71.85546875" style="39" customWidth="1"/>
    <col min="13523" max="13523" width="67.85546875" style="39" customWidth="1"/>
    <col min="13524" max="13524" width="71" style="39" customWidth="1"/>
    <col min="13525" max="13525" width="82.85546875" style="39" customWidth="1"/>
    <col min="13526" max="13526" width="79.7109375" style="39" customWidth="1"/>
    <col min="13527" max="13527" width="87.5703125" style="39" customWidth="1"/>
    <col min="13528" max="13528" width="88.85546875" style="39" customWidth="1"/>
    <col min="13529" max="13529" width="35.85546875" style="39" customWidth="1"/>
    <col min="13530" max="13530" width="11.42578125" style="39"/>
    <col min="13531" max="13531" width="30.5703125" style="39" customWidth="1"/>
    <col min="13532" max="13772" width="11.42578125" style="39"/>
    <col min="13773" max="13773" width="255.140625" style="39" customWidth="1"/>
    <col min="13774" max="13774" width="83.7109375" style="39" customWidth="1"/>
    <col min="13775" max="13775" width="88.5703125" style="39" customWidth="1"/>
    <col min="13776" max="13776" width="94.85546875" style="39" customWidth="1"/>
    <col min="13777" max="13777" width="74.28515625" style="39" customWidth="1"/>
    <col min="13778" max="13778" width="71.85546875" style="39" customWidth="1"/>
    <col min="13779" max="13779" width="67.85546875" style="39" customWidth="1"/>
    <col min="13780" max="13780" width="71" style="39" customWidth="1"/>
    <col min="13781" max="13781" width="82.85546875" style="39" customWidth="1"/>
    <col min="13782" max="13782" width="79.7109375" style="39" customWidth="1"/>
    <col min="13783" max="13783" width="87.5703125" style="39" customWidth="1"/>
    <col min="13784" max="13784" width="88.85546875" style="39" customWidth="1"/>
    <col min="13785" max="13785" width="35.85546875" style="39" customWidth="1"/>
    <col min="13786" max="13786" width="11.42578125" style="39"/>
    <col min="13787" max="13787" width="30.5703125" style="39" customWidth="1"/>
    <col min="13788" max="14028" width="11.42578125" style="39"/>
    <col min="14029" max="14029" width="255.140625" style="39" customWidth="1"/>
    <col min="14030" max="14030" width="83.7109375" style="39" customWidth="1"/>
    <col min="14031" max="14031" width="88.5703125" style="39" customWidth="1"/>
    <col min="14032" max="14032" width="94.85546875" style="39" customWidth="1"/>
    <col min="14033" max="14033" width="74.28515625" style="39" customWidth="1"/>
    <col min="14034" max="14034" width="71.85546875" style="39" customWidth="1"/>
    <col min="14035" max="14035" width="67.85546875" style="39" customWidth="1"/>
    <col min="14036" max="14036" width="71" style="39" customWidth="1"/>
    <col min="14037" max="14037" width="82.85546875" style="39" customWidth="1"/>
    <col min="14038" max="14038" width="79.7109375" style="39" customWidth="1"/>
    <col min="14039" max="14039" width="87.5703125" style="39" customWidth="1"/>
    <col min="14040" max="14040" width="88.85546875" style="39" customWidth="1"/>
    <col min="14041" max="14041" width="35.85546875" style="39" customWidth="1"/>
    <col min="14042" max="14042" width="11.42578125" style="39"/>
    <col min="14043" max="14043" width="30.5703125" style="39" customWidth="1"/>
    <col min="14044" max="14284" width="11.42578125" style="39"/>
    <col min="14285" max="14285" width="255.140625" style="39" customWidth="1"/>
    <col min="14286" max="14286" width="83.7109375" style="39" customWidth="1"/>
    <col min="14287" max="14287" width="88.5703125" style="39" customWidth="1"/>
    <col min="14288" max="14288" width="94.85546875" style="39" customWidth="1"/>
    <col min="14289" max="14289" width="74.28515625" style="39" customWidth="1"/>
    <col min="14290" max="14290" width="71.85546875" style="39" customWidth="1"/>
    <col min="14291" max="14291" width="67.85546875" style="39" customWidth="1"/>
    <col min="14292" max="14292" width="71" style="39" customWidth="1"/>
    <col min="14293" max="14293" width="82.85546875" style="39" customWidth="1"/>
    <col min="14294" max="14294" width="79.7109375" style="39" customWidth="1"/>
    <col min="14295" max="14295" width="87.5703125" style="39" customWidth="1"/>
    <col min="14296" max="14296" width="88.85546875" style="39" customWidth="1"/>
    <col min="14297" max="14297" width="35.85546875" style="39" customWidth="1"/>
    <col min="14298" max="14298" width="11.42578125" style="39"/>
    <col min="14299" max="14299" width="30.5703125" style="39" customWidth="1"/>
    <col min="14300" max="14540" width="11.42578125" style="39"/>
    <col min="14541" max="14541" width="255.140625" style="39" customWidth="1"/>
    <col min="14542" max="14542" width="83.7109375" style="39" customWidth="1"/>
    <col min="14543" max="14543" width="88.5703125" style="39" customWidth="1"/>
    <col min="14544" max="14544" width="94.85546875" style="39" customWidth="1"/>
    <col min="14545" max="14545" width="74.28515625" style="39" customWidth="1"/>
    <col min="14546" max="14546" width="71.85546875" style="39" customWidth="1"/>
    <col min="14547" max="14547" width="67.85546875" style="39" customWidth="1"/>
    <col min="14548" max="14548" width="71" style="39" customWidth="1"/>
    <col min="14549" max="14549" width="82.85546875" style="39" customWidth="1"/>
    <col min="14550" max="14550" width="79.7109375" style="39" customWidth="1"/>
    <col min="14551" max="14551" width="87.5703125" style="39" customWidth="1"/>
    <col min="14552" max="14552" width="88.85546875" style="39" customWidth="1"/>
    <col min="14553" max="14553" width="35.85546875" style="39" customWidth="1"/>
    <col min="14554" max="14554" width="11.42578125" style="39"/>
    <col min="14555" max="14555" width="30.5703125" style="39" customWidth="1"/>
    <col min="14556" max="14796" width="11.42578125" style="39"/>
    <col min="14797" max="14797" width="255.140625" style="39" customWidth="1"/>
    <col min="14798" max="14798" width="83.7109375" style="39" customWidth="1"/>
    <col min="14799" max="14799" width="88.5703125" style="39" customWidth="1"/>
    <col min="14800" max="14800" width="94.85546875" style="39" customWidth="1"/>
    <col min="14801" max="14801" width="74.28515625" style="39" customWidth="1"/>
    <col min="14802" max="14802" width="71.85546875" style="39" customWidth="1"/>
    <col min="14803" max="14803" width="67.85546875" style="39" customWidth="1"/>
    <col min="14804" max="14804" width="71" style="39" customWidth="1"/>
    <col min="14805" max="14805" width="82.85546875" style="39" customWidth="1"/>
    <col min="14806" max="14806" width="79.7109375" style="39" customWidth="1"/>
    <col min="14807" max="14807" width="87.5703125" style="39" customWidth="1"/>
    <col min="14808" max="14808" width="88.85546875" style="39" customWidth="1"/>
    <col min="14809" max="14809" width="35.85546875" style="39" customWidth="1"/>
    <col min="14810" max="14810" width="11.42578125" style="39"/>
    <col min="14811" max="14811" width="30.5703125" style="39" customWidth="1"/>
    <col min="14812" max="15052" width="11.42578125" style="39"/>
    <col min="15053" max="15053" width="255.140625" style="39" customWidth="1"/>
    <col min="15054" max="15054" width="83.7109375" style="39" customWidth="1"/>
    <col min="15055" max="15055" width="88.5703125" style="39" customWidth="1"/>
    <col min="15056" max="15056" width="94.85546875" style="39" customWidth="1"/>
    <col min="15057" max="15057" width="74.28515625" style="39" customWidth="1"/>
    <col min="15058" max="15058" width="71.85546875" style="39" customWidth="1"/>
    <col min="15059" max="15059" width="67.85546875" style="39" customWidth="1"/>
    <col min="15060" max="15060" width="71" style="39" customWidth="1"/>
    <col min="15061" max="15061" width="82.85546875" style="39" customWidth="1"/>
    <col min="15062" max="15062" width="79.7109375" style="39" customWidth="1"/>
    <col min="15063" max="15063" width="87.5703125" style="39" customWidth="1"/>
    <col min="15064" max="15064" width="88.85546875" style="39" customWidth="1"/>
    <col min="15065" max="15065" width="35.85546875" style="39" customWidth="1"/>
    <col min="15066" max="15066" width="11.42578125" style="39"/>
    <col min="15067" max="15067" width="30.5703125" style="39" customWidth="1"/>
    <col min="15068" max="15308" width="11.42578125" style="39"/>
    <col min="15309" max="15309" width="255.140625" style="39" customWidth="1"/>
    <col min="15310" max="15310" width="83.7109375" style="39" customWidth="1"/>
    <col min="15311" max="15311" width="88.5703125" style="39" customWidth="1"/>
    <col min="15312" max="15312" width="94.85546875" style="39" customWidth="1"/>
    <col min="15313" max="15313" width="74.28515625" style="39" customWidth="1"/>
    <col min="15314" max="15314" width="71.85546875" style="39" customWidth="1"/>
    <col min="15315" max="15315" width="67.85546875" style="39" customWidth="1"/>
    <col min="15316" max="15316" width="71" style="39" customWidth="1"/>
    <col min="15317" max="15317" width="82.85546875" style="39" customWidth="1"/>
    <col min="15318" max="15318" width="79.7109375" style="39" customWidth="1"/>
    <col min="15319" max="15319" width="87.5703125" style="39" customWidth="1"/>
    <col min="15320" max="15320" width="88.85546875" style="39" customWidth="1"/>
    <col min="15321" max="15321" width="35.85546875" style="39" customWidth="1"/>
    <col min="15322" max="15322" width="11.42578125" style="39"/>
    <col min="15323" max="15323" width="30.5703125" style="39" customWidth="1"/>
    <col min="15324" max="15564" width="11.42578125" style="39"/>
    <col min="15565" max="15565" width="255.140625" style="39" customWidth="1"/>
    <col min="15566" max="15566" width="83.7109375" style="39" customWidth="1"/>
    <col min="15567" max="15567" width="88.5703125" style="39" customWidth="1"/>
    <col min="15568" max="15568" width="94.85546875" style="39" customWidth="1"/>
    <col min="15569" max="15569" width="74.28515625" style="39" customWidth="1"/>
    <col min="15570" max="15570" width="71.85546875" style="39" customWidth="1"/>
    <col min="15571" max="15571" width="67.85546875" style="39" customWidth="1"/>
    <col min="15572" max="15572" width="71" style="39" customWidth="1"/>
    <col min="15573" max="15573" width="82.85546875" style="39" customWidth="1"/>
    <col min="15574" max="15574" width="79.7109375" style="39" customWidth="1"/>
    <col min="15575" max="15575" width="87.5703125" style="39" customWidth="1"/>
    <col min="15576" max="15576" width="88.85546875" style="39" customWidth="1"/>
    <col min="15577" max="15577" width="35.85546875" style="39" customWidth="1"/>
    <col min="15578" max="15578" width="11.42578125" style="39"/>
    <col min="15579" max="15579" width="30.5703125" style="39" customWidth="1"/>
    <col min="15580" max="15820" width="11.42578125" style="39"/>
    <col min="15821" max="15821" width="255.140625" style="39" customWidth="1"/>
    <col min="15822" max="15822" width="83.7109375" style="39" customWidth="1"/>
    <col min="15823" max="15823" width="88.5703125" style="39" customWidth="1"/>
    <col min="15824" max="15824" width="94.85546875" style="39" customWidth="1"/>
    <col min="15825" max="15825" width="74.28515625" style="39" customWidth="1"/>
    <col min="15826" max="15826" width="71.85546875" style="39" customWidth="1"/>
    <col min="15827" max="15827" width="67.85546875" style="39" customWidth="1"/>
    <col min="15828" max="15828" width="71" style="39" customWidth="1"/>
    <col min="15829" max="15829" width="82.85546875" style="39" customWidth="1"/>
    <col min="15830" max="15830" width="79.7109375" style="39" customWidth="1"/>
    <col min="15831" max="15831" width="87.5703125" style="39" customWidth="1"/>
    <col min="15832" max="15832" width="88.85546875" style="39" customWidth="1"/>
    <col min="15833" max="15833" width="35.85546875" style="39" customWidth="1"/>
    <col min="15834" max="15834" width="11.42578125" style="39"/>
    <col min="15835" max="15835" width="30.5703125" style="39" customWidth="1"/>
    <col min="15836" max="16076" width="11.42578125" style="39"/>
    <col min="16077" max="16077" width="255.140625" style="39" customWidth="1"/>
    <col min="16078" max="16078" width="83.7109375" style="39" customWidth="1"/>
    <col min="16079" max="16079" width="88.5703125" style="39" customWidth="1"/>
    <col min="16080" max="16080" width="94.85546875" style="39" customWidth="1"/>
    <col min="16081" max="16081" width="74.28515625" style="39" customWidth="1"/>
    <col min="16082" max="16082" width="71.85546875" style="39" customWidth="1"/>
    <col min="16083" max="16083" width="67.85546875" style="39" customWidth="1"/>
    <col min="16084" max="16084" width="71" style="39" customWidth="1"/>
    <col min="16085" max="16085" width="82.85546875" style="39" customWidth="1"/>
    <col min="16086" max="16086" width="79.7109375" style="39" customWidth="1"/>
    <col min="16087" max="16087" width="87.5703125" style="39" customWidth="1"/>
    <col min="16088" max="16088" width="88.85546875" style="39" customWidth="1"/>
    <col min="16089" max="16089" width="35.85546875" style="39" customWidth="1"/>
    <col min="16090" max="16090" width="11.42578125" style="39"/>
    <col min="16091" max="16091" width="30.5703125" style="39" customWidth="1"/>
    <col min="16092" max="16384" width="11.42578125" style="39"/>
  </cols>
  <sheetData>
    <row r="1" spans="1:49" ht="73.5" customHeight="1" x14ac:dyDescent="0.25"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49" ht="83.25" customHeight="1" x14ac:dyDescent="0.25">
      <c r="B2" s="93" t="s">
        <v>71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49" ht="132" customHeight="1" x14ac:dyDescent="0.25">
      <c r="B3" s="99" t="s">
        <v>88</v>
      </c>
      <c r="C3" s="99"/>
      <c r="D3" s="99"/>
      <c r="E3" s="100"/>
      <c r="F3" s="100"/>
      <c r="G3" s="100"/>
      <c r="H3" s="100"/>
      <c r="I3" s="100"/>
      <c r="J3" s="100"/>
      <c r="K3" s="100"/>
      <c r="L3" s="100"/>
      <c r="M3" s="100"/>
    </row>
    <row r="4" spans="1:49" ht="91.5" customHeight="1" x14ac:dyDescent="0.25">
      <c r="B4" s="93" t="s">
        <v>72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49" ht="15.75" customHeight="1" thickBot="1" x14ac:dyDescent="0.3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49" ht="117.75" customHeight="1" x14ac:dyDescent="0.25">
      <c r="B6" s="94" t="s">
        <v>3</v>
      </c>
      <c r="C6" s="96" t="s">
        <v>4</v>
      </c>
      <c r="D6" s="97"/>
      <c r="E6" s="98" t="s">
        <v>5</v>
      </c>
      <c r="F6" s="98"/>
      <c r="G6" s="98"/>
      <c r="H6" s="98"/>
      <c r="I6" s="98"/>
      <c r="J6" s="98"/>
      <c r="K6" s="98"/>
      <c r="L6" s="98"/>
      <c r="M6" s="98"/>
    </row>
    <row r="7" spans="1:49" ht="141.75" customHeight="1" x14ac:dyDescent="0.25">
      <c r="B7" s="95"/>
      <c r="C7" s="41" t="s">
        <v>6</v>
      </c>
      <c r="D7" s="41" t="s">
        <v>7</v>
      </c>
      <c r="E7" s="73" t="s">
        <v>8</v>
      </c>
      <c r="F7" s="101" t="s">
        <v>9</v>
      </c>
      <c r="G7" s="101"/>
      <c r="H7" s="101" t="s">
        <v>10</v>
      </c>
      <c r="I7" s="101"/>
      <c r="J7" s="101" t="s">
        <v>11</v>
      </c>
      <c r="K7" s="101"/>
      <c r="L7" s="101" t="s">
        <v>12</v>
      </c>
      <c r="M7" s="101"/>
    </row>
    <row r="8" spans="1:49" ht="87" customHeight="1" x14ac:dyDescent="0.25">
      <c r="B8" s="42"/>
      <c r="C8" s="43"/>
      <c r="D8" s="43"/>
      <c r="E8" s="44" t="s">
        <v>13</v>
      </c>
      <c r="F8" s="44" t="s">
        <v>6</v>
      </c>
      <c r="G8" s="44" t="s">
        <v>7</v>
      </c>
      <c r="H8" s="44" t="s">
        <v>6</v>
      </c>
      <c r="I8" s="44" t="s">
        <v>7</v>
      </c>
      <c r="J8" s="44" t="s">
        <v>6</v>
      </c>
      <c r="K8" s="44" t="s">
        <v>7</v>
      </c>
      <c r="L8" s="44" t="s">
        <v>6</v>
      </c>
      <c r="M8" s="44" t="s">
        <v>7</v>
      </c>
    </row>
    <row r="9" spans="1:49" s="47" customFormat="1" ht="149.25" customHeight="1" x14ac:dyDescent="0.25">
      <c r="A9" s="45"/>
      <c r="B9" s="42" t="s">
        <v>14</v>
      </c>
      <c r="C9" s="46">
        <f t="shared" ref="C9:L9" si="0">SUM(C10:C24)</f>
        <v>121889431</v>
      </c>
      <c r="D9" s="46">
        <f t="shared" si="0"/>
        <v>32925196</v>
      </c>
      <c r="E9" s="46">
        <f t="shared" si="0"/>
        <v>154814627</v>
      </c>
      <c r="F9" s="46">
        <f t="shared" si="0"/>
        <v>264440</v>
      </c>
      <c r="G9" s="46">
        <f t="shared" si="0"/>
        <v>310059.87</v>
      </c>
      <c r="H9" s="46">
        <f t="shared" si="0"/>
        <v>0</v>
      </c>
      <c r="I9" s="46">
        <f t="shared" si="0"/>
        <v>0</v>
      </c>
      <c r="J9" s="46">
        <f>SUM(J10:J24)</f>
        <v>121624991</v>
      </c>
      <c r="K9" s="46">
        <f t="shared" si="0"/>
        <v>32574323</v>
      </c>
      <c r="L9" s="46">
        <f t="shared" si="0"/>
        <v>0</v>
      </c>
      <c r="M9" s="46">
        <f>SUM(M10:M24)</f>
        <v>40813.13000000082</v>
      </c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</row>
    <row r="10" spans="1:49" ht="99.95" customHeight="1" x14ac:dyDescent="0.25">
      <c r="B10" s="48" t="s">
        <v>38</v>
      </c>
      <c r="C10" s="79">
        <f>1820831.18-0.18</f>
        <v>1820831</v>
      </c>
      <c r="D10" s="79">
        <f>697191.94+0.06</f>
        <v>697192</v>
      </c>
      <c r="E10" s="49">
        <f>C10+D10</f>
        <v>2518023</v>
      </c>
      <c r="F10" s="50">
        <v>0</v>
      </c>
      <c r="G10" s="50">
        <f>0.01-0.01</f>
        <v>0</v>
      </c>
      <c r="H10" s="50">
        <v>0</v>
      </c>
      <c r="I10" s="50">
        <v>0</v>
      </c>
      <c r="J10" s="50">
        <f>1820831.18-0.18</f>
        <v>1820831</v>
      </c>
      <c r="K10" s="50">
        <f>697191.93+0.07</f>
        <v>697192</v>
      </c>
      <c r="L10" s="50">
        <f>C10-F10-H10-J10</f>
        <v>0</v>
      </c>
      <c r="M10" s="50">
        <f>D10-G10-I10-K10</f>
        <v>0</v>
      </c>
    </row>
    <row r="11" spans="1:49" ht="66" customHeight="1" x14ac:dyDescent="0.25">
      <c r="B11" s="48" t="s">
        <v>16</v>
      </c>
      <c r="C11" s="79">
        <v>0</v>
      </c>
      <c r="D11" s="79">
        <v>0</v>
      </c>
      <c r="E11" s="49">
        <f t="shared" ref="E11:E50" si="1">C11+D11</f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f t="shared" ref="L11:L12" si="2">C11-F11-H11-J11</f>
        <v>0</v>
      </c>
      <c r="M11" s="50">
        <f t="shared" ref="M11:M12" si="3">D11-G11-I11-K11</f>
        <v>0</v>
      </c>
    </row>
    <row r="12" spans="1:49" ht="56.25" customHeight="1" x14ac:dyDescent="0.25">
      <c r="B12" s="48" t="s">
        <v>17</v>
      </c>
      <c r="C12" s="79">
        <v>0</v>
      </c>
      <c r="D12" s="79">
        <v>0</v>
      </c>
      <c r="E12" s="49">
        <f t="shared" si="1"/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f t="shared" si="2"/>
        <v>0</v>
      </c>
      <c r="M12" s="50">
        <f t="shared" si="3"/>
        <v>0</v>
      </c>
    </row>
    <row r="13" spans="1:49" ht="99.95" customHeight="1" x14ac:dyDescent="0.25">
      <c r="B13" s="48" t="s">
        <v>73</v>
      </c>
      <c r="C13" s="79">
        <v>5950000</v>
      </c>
      <c r="D13" s="79">
        <v>2550000</v>
      </c>
      <c r="E13" s="49">
        <f t="shared" si="1"/>
        <v>8500000</v>
      </c>
      <c r="F13" s="50">
        <v>0</v>
      </c>
      <c r="G13" s="50">
        <v>0</v>
      </c>
      <c r="H13" s="50">
        <v>0</v>
      </c>
      <c r="I13" s="50">
        <v>0</v>
      </c>
      <c r="J13" s="50">
        <v>5950000</v>
      </c>
      <c r="K13" s="50">
        <v>2550000</v>
      </c>
      <c r="L13" s="50">
        <f t="shared" ref="L13:L24" si="4">C13-F13-H13-J13</f>
        <v>0</v>
      </c>
      <c r="M13" s="50">
        <f t="shared" ref="M13:M24" si="5">D13-G13-I13-K13</f>
        <v>0</v>
      </c>
    </row>
    <row r="14" spans="1:49" ht="78.75" customHeight="1" x14ac:dyDescent="0.25">
      <c r="B14" s="48" t="s">
        <v>74</v>
      </c>
      <c r="C14" s="79">
        <f>10859085+12465056+3225977+695536-31690</f>
        <v>27213964</v>
      </c>
      <c r="D14" s="79">
        <f>1206646+1170675+203628-451123</f>
        <v>2129826</v>
      </c>
      <c r="E14" s="49">
        <f t="shared" si="1"/>
        <v>29343790</v>
      </c>
      <c r="F14" s="50">
        <v>0</v>
      </c>
      <c r="G14" s="50">
        <v>0</v>
      </c>
      <c r="H14" s="50">
        <v>0</v>
      </c>
      <c r="I14" s="50">
        <v>0</v>
      </c>
      <c r="J14" s="50">
        <f>26495746.33+1.67+438246+279970</f>
        <v>27213964</v>
      </c>
      <c r="K14" s="50">
        <f>2004281.74+0.26+125544</f>
        <v>2129826</v>
      </c>
      <c r="L14" s="50">
        <f t="shared" si="4"/>
        <v>0</v>
      </c>
      <c r="M14" s="50">
        <f t="shared" si="5"/>
        <v>0</v>
      </c>
    </row>
    <row r="15" spans="1:49" ht="63" customHeight="1" x14ac:dyDescent="0.25">
      <c r="B15" s="48" t="s">
        <v>20</v>
      </c>
      <c r="C15" s="79">
        <v>0</v>
      </c>
      <c r="D15" s="79">
        <v>0</v>
      </c>
      <c r="E15" s="49">
        <f t="shared" si="1"/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f t="shared" si="4"/>
        <v>0</v>
      </c>
      <c r="M15" s="50">
        <f t="shared" si="5"/>
        <v>0</v>
      </c>
    </row>
    <row r="16" spans="1:49" ht="108" customHeight="1" x14ac:dyDescent="0.25">
      <c r="B16" s="48" t="s">
        <v>21</v>
      </c>
      <c r="C16" s="79">
        <v>0</v>
      </c>
      <c r="D16" s="79">
        <v>0</v>
      </c>
      <c r="E16" s="49">
        <f t="shared" si="1"/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f t="shared" si="4"/>
        <v>0</v>
      </c>
      <c r="M16" s="50">
        <f t="shared" si="5"/>
        <v>0</v>
      </c>
    </row>
    <row r="17" spans="1:13" ht="88.5" x14ac:dyDescent="0.25">
      <c r="B17" s="48" t="s">
        <v>22</v>
      </c>
      <c r="C17" s="79">
        <v>0</v>
      </c>
      <c r="D17" s="79">
        <v>0</v>
      </c>
      <c r="E17" s="49">
        <f t="shared" si="1"/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f t="shared" si="4"/>
        <v>0</v>
      </c>
      <c r="M17" s="50">
        <f t="shared" si="5"/>
        <v>0</v>
      </c>
    </row>
    <row r="18" spans="1:13" ht="87.75" customHeight="1" x14ac:dyDescent="0.25">
      <c r="B18" s="48" t="s">
        <v>75</v>
      </c>
      <c r="C18" s="79">
        <f>58225947+31690+232750</f>
        <v>58490387</v>
      </c>
      <c r="D18" s="79">
        <f>12730580+251123+99750</f>
        <v>13081453</v>
      </c>
      <c r="E18" s="49">
        <f t="shared" si="1"/>
        <v>71571840</v>
      </c>
      <c r="F18" s="50">
        <v>264440</v>
      </c>
      <c r="G18" s="50">
        <v>310059.87</v>
      </c>
      <c r="H18" s="50">
        <v>0</v>
      </c>
      <c r="I18" s="50">
        <v>0</v>
      </c>
      <c r="J18" s="50">
        <f>58212541.45+0.55+13405</f>
        <v>58225947</v>
      </c>
      <c r="K18" s="50">
        <f>12541029.65-1.65+189552</f>
        <v>12730580</v>
      </c>
      <c r="L18" s="50">
        <f t="shared" si="4"/>
        <v>0</v>
      </c>
      <c r="M18" s="50">
        <f t="shared" si="5"/>
        <v>40813.13000000082</v>
      </c>
    </row>
    <row r="19" spans="1:13" ht="87.75" customHeight="1" x14ac:dyDescent="0.25">
      <c r="B19" s="48" t="s">
        <v>76</v>
      </c>
      <c r="C19" s="79">
        <f>719740.8+0.2</f>
        <v>719741</v>
      </c>
      <c r="D19" s="79">
        <f>308460.35-0.35</f>
        <v>308460</v>
      </c>
      <c r="E19" s="49">
        <f t="shared" si="1"/>
        <v>1028201</v>
      </c>
      <c r="F19" s="50">
        <v>0</v>
      </c>
      <c r="G19" s="50">
        <v>0</v>
      </c>
      <c r="H19" s="50">
        <v>0</v>
      </c>
      <c r="I19" s="50">
        <v>0</v>
      </c>
      <c r="J19" s="50">
        <f>719740.8+0.2</f>
        <v>719741</v>
      </c>
      <c r="K19" s="50">
        <f>308460.35-0.35</f>
        <v>308460</v>
      </c>
      <c r="L19" s="50">
        <f t="shared" si="4"/>
        <v>0</v>
      </c>
      <c r="M19" s="50">
        <f t="shared" si="5"/>
        <v>0</v>
      </c>
    </row>
    <row r="20" spans="1:13" ht="87.75" customHeight="1" x14ac:dyDescent="0.25">
      <c r="B20" s="48" t="s">
        <v>77</v>
      </c>
      <c r="C20" s="79">
        <f>1971058+3913652</f>
        <v>5884710</v>
      </c>
      <c r="D20" s="79">
        <f>666386+2402343</f>
        <v>3068729</v>
      </c>
      <c r="E20" s="49">
        <f t="shared" si="1"/>
        <v>8953439</v>
      </c>
      <c r="F20" s="50">
        <v>0</v>
      </c>
      <c r="G20" s="50">
        <v>0</v>
      </c>
      <c r="H20" s="50">
        <v>0</v>
      </c>
      <c r="I20" s="50">
        <v>0</v>
      </c>
      <c r="J20" s="50">
        <f>5884710.64-0.64</f>
        <v>5884710</v>
      </c>
      <c r="K20" s="50">
        <f>3068727.55+1.45</f>
        <v>3068729</v>
      </c>
      <c r="L20" s="50">
        <f t="shared" si="4"/>
        <v>0</v>
      </c>
      <c r="M20" s="50">
        <f t="shared" si="5"/>
        <v>0</v>
      </c>
    </row>
    <row r="21" spans="1:13" ht="87.75" customHeight="1" x14ac:dyDescent="0.25">
      <c r="B21" s="48" t="s">
        <v>78</v>
      </c>
      <c r="C21" s="79">
        <f>21809797.56+0.44</f>
        <v>21809798</v>
      </c>
      <c r="D21" s="79">
        <f>8939897.1-0.1</f>
        <v>8939897</v>
      </c>
      <c r="E21" s="49">
        <f t="shared" si="1"/>
        <v>30749695</v>
      </c>
      <c r="F21" s="50">
        <v>0</v>
      </c>
      <c r="G21" s="50">
        <f>0.35-0.35</f>
        <v>0</v>
      </c>
      <c r="H21" s="50">
        <v>0</v>
      </c>
      <c r="I21" s="50">
        <v>0</v>
      </c>
      <c r="J21" s="50">
        <f>21809797.56+0.44</f>
        <v>21809798</v>
      </c>
      <c r="K21" s="50">
        <f>8939895.95+0.35+0.7</f>
        <v>8939896.9999999981</v>
      </c>
      <c r="L21" s="50">
        <f t="shared" si="4"/>
        <v>0</v>
      </c>
      <c r="M21" s="50">
        <f t="shared" si="5"/>
        <v>0</v>
      </c>
    </row>
    <row r="22" spans="1:13" ht="87.75" customHeight="1" x14ac:dyDescent="0.25">
      <c r="B22" s="48" t="s">
        <v>79</v>
      </c>
      <c r="C22" s="79">
        <v>0</v>
      </c>
      <c r="D22" s="79">
        <v>0</v>
      </c>
      <c r="E22" s="49">
        <f t="shared" si="1"/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f t="shared" si="4"/>
        <v>0</v>
      </c>
      <c r="M22" s="50">
        <f t="shared" si="5"/>
        <v>0</v>
      </c>
    </row>
    <row r="23" spans="1:13" ht="87.75" customHeight="1" x14ac:dyDescent="0.25">
      <c r="B23" s="48" t="s">
        <v>80</v>
      </c>
      <c r="C23" s="79">
        <v>0</v>
      </c>
      <c r="D23" s="79">
        <v>0</v>
      </c>
      <c r="E23" s="49">
        <f t="shared" si="1"/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f t="shared" si="4"/>
        <v>0</v>
      </c>
      <c r="M23" s="50">
        <f t="shared" si="5"/>
        <v>0</v>
      </c>
    </row>
    <row r="24" spans="1:13" ht="87.75" customHeight="1" x14ac:dyDescent="0.25">
      <c r="B24" s="48" t="s">
        <v>81</v>
      </c>
      <c r="C24" s="79">
        <v>0</v>
      </c>
      <c r="D24" s="79">
        <f>2149639.75-0.75</f>
        <v>2149639</v>
      </c>
      <c r="E24" s="49">
        <f t="shared" si="1"/>
        <v>2149639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f>2149639.75-0.75</f>
        <v>2149639</v>
      </c>
      <c r="L24" s="50">
        <f t="shared" si="4"/>
        <v>0</v>
      </c>
      <c r="M24" s="50">
        <f t="shared" si="5"/>
        <v>0</v>
      </c>
    </row>
    <row r="25" spans="1:13" s="51" customFormat="1" ht="99.95" customHeight="1" x14ac:dyDescent="0.25">
      <c r="A25" s="38"/>
      <c r="B25" s="42" t="s">
        <v>33</v>
      </c>
      <c r="C25" s="80">
        <f>SUM(C26:C28)</f>
        <v>0</v>
      </c>
      <c r="D25" s="80">
        <f t="shared" ref="D25:M25" si="6">SUM(D26:D28)</f>
        <v>10587566</v>
      </c>
      <c r="E25" s="46">
        <f t="shared" si="6"/>
        <v>10587566</v>
      </c>
      <c r="F25" s="46">
        <f t="shared" si="6"/>
        <v>0</v>
      </c>
      <c r="G25" s="46">
        <f t="shared" si="6"/>
        <v>0</v>
      </c>
      <c r="H25" s="46">
        <f t="shared" si="6"/>
        <v>0</v>
      </c>
      <c r="I25" s="46">
        <f t="shared" si="6"/>
        <v>0</v>
      </c>
      <c r="J25" s="46">
        <f t="shared" si="6"/>
        <v>0</v>
      </c>
      <c r="K25" s="46">
        <f t="shared" si="6"/>
        <v>10587566</v>
      </c>
      <c r="L25" s="46">
        <f t="shared" si="6"/>
        <v>0</v>
      </c>
      <c r="M25" s="46">
        <f t="shared" si="6"/>
        <v>0</v>
      </c>
    </row>
    <row r="26" spans="1:13" s="51" customFormat="1" ht="75.75" customHeight="1" x14ac:dyDescent="0.25">
      <c r="A26" s="38"/>
      <c r="B26" s="52" t="s">
        <v>34</v>
      </c>
      <c r="C26" s="79">
        <v>0</v>
      </c>
      <c r="D26" s="79">
        <v>0</v>
      </c>
      <c r="E26" s="49">
        <f t="shared" si="1"/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f t="shared" ref="L26:L27" si="7">C26-F26-H26-J26</f>
        <v>0</v>
      </c>
      <c r="M26" s="50">
        <f t="shared" ref="M26:M27" si="8">D26-G26-I26-K26</f>
        <v>0</v>
      </c>
    </row>
    <row r="27" spans="1:13" ht="75.75" customHeight="1" x14ac:dyDescent="0.25">
      <c r="B27" s="48" t="s">
        <v>35</v>
      </c>
      <c r="C27" s="79">
        <v>0</v>
      </c>
      <c r="D27" s="79">
        <v>10587566</v>
      </c>
      <c r="E27" s="49">
        <f t="shared" si="1"/>
        <v>10587566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f>10587565.27+0.73</f>
        <v>10587566</v>
      </c>
      <c r="L27" s="50">
        <f t="shared" si="7"/>
        <v>0</v>
      </c>
      <c r="M27" s="50">
        <f t="shared" si="8"/>
        <v>0</v>
      </c>
    </row>
    <row r="28" spans="1:13" ht="69" customHeight="1" x14ac:dyDescent="0.25">
      <c r="B28" s="53" t="s">
        <v>36</v>
      </c>
      <c r="C28" s="79">
        <v>0</v>
      </c>
      <c r="D28" s="79">
        <v>0</v>
      </c>
      <c r="E28" s="49">
        <f t="shared" si="1"/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f t="shared" ref="L28" si="9">C28-F28-H28-J28</f>
        <v>0</v>
      </c>
      <c r="M28" s="50">
        <f t="shared" ref="M28" si="10">D28-G28-I28-K28</f>
        <v>0</v>
      </c>
    </row>
    <row r="29" spans="1:13" s="51" customFormat="1" ht="99.95" customHeight="1" x14ac:dyDescent="0.25">
      <c r="A29" s="38"/>
      <c r="B29" s="54" t="s">
        <v>37</v>
      </c>
      <c r="C29" s="80">
        <f>SUM(C30:C35)</f>
        <v>6159995</v>
      </c>
      <c r="D29" s="80">
        <f>SUM(D30:D35)</f>
        <v>2626578</v>
      </c>
      <c r="E29" s="46">
        <f t="shared" ref="E29:M29" si="11">SUM(E30:E35)</f>
        <v>8786573</v>
      </c>
      <c r="F29" s="46">
        <f t="shared" si="11"/>
        <v>0</v>
      </c>
      <c r="G29" s="46">
        <f t="shared" si="11"/>
        <v>0</v>
      </c>
      <c r="H29" s="46">
        <f t="shared" si="11"/>
        <v>0</v>
      </c>
      <c r="I29" s="46">
        <f t="shared" si="11"/>
        <v>0</v>
      </c>
      <c r="J29" s="46">
        <f t="shared" si="11"/>
        <v>5798462</v>
      </c>
      <c r="K29" s="46">
        <f t="shared" si="11"/>
        <v>2305816.66</v>
      </c>
      <c r="L29" s="46">
        <f t="shared" si="11"/>
        <v>361533</v>
      </c>
      <c r="M29" s="46">
        <f t="shared" si="11"/>
        <v>320761.34000000008</v>
      </c>
    </row>
    <row r="30" spans="1:13" s="51" customFormat="1" ht="48.75" customHeight="1" x14ac:dyDescent="0.25">
      <c r="A30" s="38"/>
      <c r="B30" s="55" t="s">
        <v>82</v>
      </c>
      <c r="C30" s="79">
        <v>0</v>
      </c>
      <c r="D30" s="79">
        <v>0</v>
      </c>
      <c r="E30" s="49">
        <f t="shared" si="1"/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f t="shared" ref="L30:L35" si="12">C30-F30-H30-J30</f>
        <v>0</v>
      </c>
      <c r="M30" s="50">
        <f t="shared" ref="M30:M35" si="13">D30-G30-I30-K30</f>
        <v>0</v>
      </c>
    </row>
    <row r="31" spans="1:13" s="51" customFormat="1" ht="78.75" customHeight="1" x14ac:dyDescent="0.25">
      <c r="A31" s="38"/>
      <c r="B31" s="55" t="s">
        <v>83</v>
      </c>
      <c r="C31" s="79">
        <v>3305190</v>
      </c>
      <c r="D31" s="79">
        <v>1403091</v>
      </c>
      <c r="E31" s="49">
        <f t="shared" si="1"/>
        <v>4708281</v>
      </c>
      <c r="F31" s="50">
        <f>489300-489300</f>
        <v>0</v>
      </c>
      <c r="G31" s="50">
        <f>29206.66-29206.66</f>
        <v>0</v>
      </c>
      <c r="H31" s="50">
        <v>0</v>
      </c>
      <c r="I31" s="50">
        <v>0</v>
      </c>
      <c r="J31" s="50">
        <f>2815890.69-0.69+464268</f>
        <v>3280158</v>
      </c>
      <c r="K31" s="50">
        <f>1193390.25+0.75+54238.66</f>
        <v>1247629.6599999999</v>
      </c>
      <c r="L31" s="50">
        <f t="shared" si="12"/>
        <v>25032</v>
      </c>
      <c r="M31" s="50">
        <f t="shared" si="13"/>
        <v>155461.34000000008</v>
      </c>
    </row>
    <row r="32" spans="1:13" s="51" customFormat="1" ht="78.75" customHeight="1" x14ac:dyDescent="0.25">
      <c r="A32" s="38"/>
      <c r="B32" s="55" t="s">
        <v>44</v>
      </c>
      <c r="C32" s="79">
        <v>79445</v>
      </c>
      <c r="D32" s="79">
        <v>34047</v>
      </c>
      <c r="E32" s="49">
        <f t="shared" si="1"/>
        <v>113492</v>
      </c>
      <c r="F32" s="50">
        <v>0</v>
      </c>
      <c r="G32" s="50">
        <v>0</v>
      </c>
      <c r="H32" s="50">
        <v>0</v>
      </c>
      <c r="I32" s="50">
        <v>0</v>
      </c>
      <c r="J32" s="50">
        <f>79444.12-0.12</f>
        <v>79444</v>
      </c>
      <c r="K32" s="50">
        <f>34047.47-0.47</f>
        <v>34047</v>
      </c>
      <c r="L32" s="50">
        <f t="shared" si="12"/>
        <v>1</v>
      </c>
      <c r="M32" s="50">
        <f t="shared" si="13"/>
        <v>0</v>
      </c>
    </row>
    <row r="33" spans="1:13" s="51" customFormat="1" ht="78.75" customHeight="1" x14ac:dyDescent="0.25">
      <c r="A33" s="38"/>
      <c r="B33" s="55" t="s">
        <v>45</v>
      </c>
      <c r="C33" s="79">
        <v>0</v>
      </c>
      <c r="D33" s="79">
        <v>0</v>
      </c>
      <c r="E33" s="49">
        <f t="shared" si="1"/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f t="shared" si="12"/>
        <v>0</v>
      </c>
      <c r="M33" s="50">
        <f t="shared" si="13"/>
        <v>0</v>
      </c>
    </row>
    <row r="34" spans="1:13" s="51" customFormat="1" ht="78.75" customHeight="1" x14ac:dyDescent="0.25">
      <c r="A34" s="38"/>
      <c r="B34" s="55" t="s">
        <v>46</v>
      </c>
      <c r="C34" s="79">
        <v>2775360</v>
      </c>
      <c r="D34" s="79">
        <v>1189440</v>
      </c>
      <c r="E34" s="49">
        <f t="shared" si="1"/>
        <v>3964800</v>
      </c>
      <c r="F34" s="50">
        <f>24600+24600-49200</f>
        <v>0</v>
      </c>
      <c r="G34" s="50">
        <v>0</v>
      </c>
      <c r="H34" s="50">
        <v>0</v>
      </c>
      <c r="I34" s="50">
        <v>0</v>
      </c>
      <c r="J34" s="50">
        <f>2389660+49200</f>
        <v>2438860</v>
      </c>
      <c r="K34" s="50">
        <v>1024140</v>
      </c>
      <c r="L34" s="50">
        <f t="shared" si="12"/>
        <v>336500</v>
      </c>
      <c r="M34" s="50">
        <f t="shared" si="13"/>
        <v>165300</v>
      </c>
    </row>
    <row r="35" spans="1:13" s="51" customFormat="1" ht="164.25" customHeight="1" x14ac:dyDescent="0.25">
      <c r="A35" s="38"/>
      <c r="B35" s="55" t="s">
        <v>47</v>
      </c>
      <c r="C35" s="79">
        <v>0</v>
      </c>
      <c r="D35" s="79">
        <v>0</v>
      </c>
      <c r="E35" s="49">
        <f t="shared" si="1"/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f t="shared" si="12"/>
        <v>0</v>
      </c>
      <c r="M35" s="50">
        <f t="shared" si="13"/>
        <v>0</v>
      </c>
    </row>
    <row r="36" spans="1:13" s="51" customFormat="1" ht="99.95" customHeight="1" x14ac:dyDescent="0.25">
      <c r="A36" s="38"/>
      <c r="B36" s="54" t="s">
        <v>50</v>
      </c>
      <c r="C36" s="80">
        <f t="shared" ref="C36:L36" si="14">SUM(C37:C40)</f>
        <v>9573830</v>
      </c>
      <c r="D36" s="80">
        <f t="shared" si="14"/>
        <v>5795001</v>
      </c>
      <c r="E36" s="46">
        <f t="shared" si="14"/>
        <v>15368831</v>
      </c>
      <c r="F36" s="46">
        <f t="shared" si="14"/>
        <v>0</v>
      </c>
      <c r="G36" s="46">
        <f t="shared" si="14"/>
        <v>0</v>
      </c>
      <c r="H36" s="46">
        <f t="shared" si="14"/>
        <v>0</v>
      </c>
      <c r="I36" s="46">
        <f t="shared" si="14"/>
        <v>0</v>
      </c>
      <c r="J36" s="46">
        <f t="shared" si="14"/>
        <v>9573830</v>
      </c>
      <c r="K36" s="46">
        <f t="shared" si="14"/>
        <v>5795001</v>
      </c>
      <c r="L36" s="46">
        <f t="shared" si="14"/>
        <v>0</v>
      </c>
      <c r="M36" s="46">
        <f>SUM(M37:M40)</f>
        <v>0</v>
      </c>
    </row>
    <row r="37" spans="1:13" s="51" customFormat="1" ht="120" customHeight="1" x14ac:dyDescent="0.25">
      <c r="A37" s="38"/>
      <c r="B37" s="55" t="s">
        <v>53</v>
      </c>
      <c r="C37" s="79">
        <f>9573829.46+0.54</f>
        <v>9573830</v>
      </c>
      <c r="D37" s="79">
        <f>5795001.16-0.16</f>
        <v>5795001</v>
      </c>
      <c r="E37" s="49">
        <f t="shared" si="1"/>
        <v>15368831</v>
      </c>
      <c r="F37" s="50">
        <v>0</v>
      </c>
      <c r="G37" s="50">
        <v>0</v>
      </c>
      <c r="H37" s="50">
        <v>0</v>
      </c>
      <c r="I37" s="50">
        <v>0</v>
      </c>
      <c r="J37" s="50">
        <f>9573940.96-111.5+0.54</f>
        <v>9573830</v>
      </c>
      <c r="K37" s="50">
        <f>5794889.55+111.5-0.05</f>
        <v>5795001</v>
      </c>
      <c r="L37" s="50">
        <f t="shared" ref="L37:L40" si="15">C37-F37-H37-J37</f>
        <v>0</v>
      </c>
      <c r="M37" s="50">
        <f t="shared" ref="M37:M40" si="16">D37-G37-I37-K37</f>
        <v>0</v>
      </c>
    </row>
    <row r="38" spans="1:13" s="51" customFormat="1" ht="174.75" customHeight="1" x14ac:dyDescent="0.25">
      <c r="A38" s="38"/>
      <c r="B38" s="55" t="s">
        <v>54</v>
      </c>
      <c r="C38" s="79">
        <v>0</v>
      </c>
      <c r="D38" s="79">
        <v>0</v>
      </c>
      <c r="E38" s="49">
        <f t="shared" si="1"/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f t="shared" si="15"/>
        <v>0</v>
      </c>
      <c r="M38" s="50">
        <f t="shared" si="16"/>
        <v>0</v>
      </c>
    </row>
    <row r="39" spans="1:13" s="51" customFormat="1" ht="147.75" customHeight="1" x14ac:dyDescent="0.25">
      <c r="A39" s="38"/>
      <c r="B39" s="55" t="s">
        <v>84</v>
      </c>
      <c r="C39" s="79">
        <v>0</v>
      </c>
      <c r="D39" s="79">
        <v>0</v>
      </c>
      <c r="E39" s="49">
        <f t="shared" si="1"/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f t="shared" si="15"/>
        <v>0</v>
      </c>
      <c r="M39" s="50">
        <f t="shared" si="16"/>
        <v>0</v>
      </c>
    </row>
    <row r="40" spans="1:13" s="51" customFormat="1" ht="134.25" customHeight="1" x14ac:dyDescent="0.25">
      <c r="A40" s="38"/>
      <c r="B40" s="55" t="s">
        <v>85</v>
      </c>
      <c r="C40" s="79">
        <v>0</v>
      </c>
      <c r="D40" s="79">
        <v>0</v>
      </c>
      <c r="E40" s="49">
        <f t="shared" si="1"/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f t="shared" si="15"/>
        <v>0</v>
      </c>
      <c r="M40" s="50">
        <f t="shared" si="16"/>
        <v>0</v>
      </c>
    </row>
    <row r="41" spans="1:13" s="51" customFormat="1" ht="99.95" customHeight="1" x14ac:dyDescent="0.25">
      <c r="A41" s="38"/>
      <c r="B41" s="54" t="s">
        <v>56</v>
      </c>
      <c r="C41" s="80">
        <f>SUM(C42:C44)</f>
        <v>798411</v>
      </c>
      <c r="D41" s="80">
        <f t="shared" ref="D41:M41" si="17">SUM(D42:D44)</f>
        <v>1492012</v>
      </c>
      <c r="E41" s="46">
        <f t="shared" si="17"/>
        <v>2290423</v>
      </c>
      <c r="F41" s="46">
        <f t="shared" si="17"/>
        <v>0</v>
      </c>
      <c r="G41" s="46">
        <f t="shared" si="17"/>
        <v>0</v>
      </c>
      <c r="H41" s="46">
        <f t="shared" si="17"/>
        <v>0</v>
      </c>
      <c r="I41" s="46">
        <f t="shared" si="17"/>
        <v>0</v>
      </c>
      <c r="J41" s="46">
        <f t="shared" si="17"/>
        <v>798411</v>
      </c>
      <c r="K41" s="46">
        <f t="shared" si="17"/>
        <v>1492012</v>
      </c>
      <c r="L41" s="46">
        <f t="shared" si="17"/>
        <v>0</v>
      </c>
      <c r="M41" s="46">
        <f t="shared" si="17"/>
        <v>0</v>
      </c>
    </row>
    <row r="42" spans="1:13" s="51" customFormat="1" ht="105.75" customHeight="1" x14ac:dyDescent="0.25">
      <c r="A42" s="38"/>
      <c r="B42" s="55" t="s">
        <v>86</v>
      </c>
      <c r="C42" s="79">
        <v>0</v>
      </c>
      <c r="D42" s="79">
        <v>0</v>
      </c>
      <c r="E42" s="49">
        <f t="shared" si="1"/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f t="shared" ref="L42:L44" si="18">C42-F42-H42-J42</f>
        <v>0</v>
      </c>
      <c r="M42" s="50">
        <f t="shared" ref="M42:M44" si="19">D42-G42-I42-K42</f>
        <v>0</v>
      </c>
    </row>
    <row r="43" spans="1:13" s="51" customFormat="1" ht="101.25" customHeight="1" x14ac:dyDescent="0.25">
      <c r="A43" s="38"/>
      <c r="B43" s="55" t="s">
        <v>87</v>
      </c>
      <c r="C43" s="79">
        <f>82100.02-0.02</f>
        <v>82100</v>
      </c>
      <c r="D43" s="79">
        <f>27366.58-0.58</f>
        <v>27366</v>
      </c>
      <c r="E43" s="49">
        <f t="shared" si="1"/>
        <v>109466</v>
      </c>
      <c r="F43" s="50">
        <v>0</v>
      </c>
      <c r="G43" s="50">
        <v>0</v>
      </c>
      <c r="H43" s="50">
        <v>0</v>
      </c>
      <c r="I43" s="50">
        <v>0</v>
      </c>
      <c r="J43" s="50">
        <f>82100.02-0.02</f>
        <v>82100</v>
      </c>
      <c r="K43" s="50">
        <f>27366.58-0.58</f>
        <v>27366</v>
      </c>
      <c r="L43" s="50">
        <f t="shared" si="18"/>
        <v>0</v>
      </c>
      <c r="M43" s="50">
        <f t="shared" si="19"/>
        <v>0</v>
      </c>
    </row>
    <row r="44" spans="1:13" s="51" customFormat="1" ht="84.75" customHeight="1" x14ac:dyDescent="0.25">
      <c r="A44" s="38"/>
      <c r="B44" s="55" t="s">
        <v>58</v>
      </c>
      <c r="C44" s="79">
        <f>716310.7+0.3</f>
        <v>716311</v>
      </c>
      <c r="D44" s="79">
        <f>1464646.25-0.25</f>
        <v>1464646</v>
      </c>
      <c r="E44" s="49">
        <f t="shared" si="1"/>
        <v>2180957</v>
      </c>
      <c r="F44" s="50">
        <v>0</v>
      </c>
      <c r="G44" s="50">
        <v>0</v>
      </c>
      <c r="H44" s="50">
        <v>0</v>
      </c>
      <c r="I44" s="50">
        <v>0</v>
      </c>
      <c r="J44" s="50">
        <f>716310.7+0.3</f>
        <v>716311</v>
      </c>
      <c r="K44" s="50">
        <f>1464646.25-0.25</f>
        <v>1464646</v>
      </c>
      <c r="L44" s="50">
        <f t="shared" si="18"/>
        <v>0</v>
      </c>
      <c r="M44" s="50">
        <f t="shared" si="19"/>
        <v>0</v>
      </c>
    </row>
    <row r="45" spans="1:13" s="51" customFormat="1" ht="99.95" customHeight="1" x14ac:dyDescent="0.25">
      <c r="A45" s="38"/>
      <c r="B45" s="54" t="s">
        <v>60</v>
      </c>
      <c r="C45" s="80">
        <f t="shared" ref="C45:L45" si="20">SUM(C46:C48)</f>
        <v>97011928</v>
      </c>
      <c r="D45" s="80">
        <f t="shared" si="20"/>
        <v>24811575</v>
      </c>
      <c r="E45" s="46">
        <f t="shared" si="20"/>
        <v>121823503</v>
      </c>
      <c r="F45" s="46">
        <f t="shared" si="20"/>
        <v>0</v>
      </c>
      <c r="G45" s="46">
        <f t="shared" si="20"/>
        <v>0</v>
      </c>
      <c r="H45" s="46">
        <f t="shared" si="20"/>
        <v>0</v>
      </c>
      <c r="I45" s="46">
        <f t="shared" si="20"/>
        <v>0</v>
      </c>
      <c r="J45" s="46">
        <f t="shared" si="20"/>
        <v>97011927</v>
      </c>
      <c r="K45" s="46">
        <f t="shared" si="20"/>
        <v>24797917.399999999</v>
      </c>
      <c r="L45" s="46">
        <f t="shared" si="20"/>
        <v>1</v>
      </c>
      <c r="M45" s="46">
        <f>SUM(M46:M48)</f>
        <v>13657.60000000149</v>
      </c>
    </row>
    <row r="46" spans="1:13" s="51" customFormat="1" ht="87.75" customHeight="1" x14ac:dyDescent="0.25">
      <c r="A46" s="38"/>
      <c r="B46" s="55" t="s">
        <v>61</v>
      </c>
      <c r="C46" s="79">
        <f>71083580.13-1.13</f>
        <v>71083579</v>
      </c>
      <c r="D46" s="79">
        <f>16479984.62+1.38+200000</f>
        <v>16679986</v>
      </c>
      <c r="E46" s="49">
        <f t="shared" si="1"/>
        <v>87763565</v>
      </c>
      <c r="F46" s="50">
        <v>0</v>
      </c>
      <c r="G46" s="50">
        <v>0</v>
      </c>
      <c r="H46" s="50">
        <v>0</v>
      </c>
      <c r="I46" s="50">
        <v>0</v>
      </c>
      <c r="J46" s="50">
        <f>71083580.13-1.13</f>
        <v>71083579</v>
      </c>
      <c r="K46" s="50">
        <f>16479984.62+1.13+0.25+93171.2+93171.2</f>
        <v>16666328.399999999</v>
      </c>
      <c r="L46" s="50">
        <f t="shared" ref="L46:L48" si="21">C46-F46-H46-J46</f>
        <v>0</v>
      </c>
      <c r="M46" s="50">
        <f t="shared" ref="M46:M48" si="22">D46-G46-I46-K46</f>
        <v>13657.60000000149</v>
      </c>
    </row>
    <row r="47" spans="1:13" ht="93.75" customHeight="1" x14ac:dyDescent="0.25">
      <c r="B47" s="55" t="s">
        <v>62</v>
      </c>
      <c r="C47" s="79">
        <f>21137681-232750</f>
        <v>20904931</v>
      </c>
      <c r="D47" s="79">
        <f>6556867-99750</f>
        <v>6457117</v>
      </c>
      <c r="E47" s="49">
        <f t="shared" si="1"/>
        <v>27362048</v>
      </c>
      <c r="F47" s="50">
        <v>0</v>
      </c>
      <c r="G47" s="50">
        <v>0</v>
      </c>
      <c r="H47" s="50">
        <v>0</v>
      </c>
      <c r="I47" s="50">
        <v>0</v>
      </c>
      <c r="J47" s="50">
        <f>20878128.97-0.97+26802</f>
        <v>20904930</v>
      </c>
      <c r="K47" s="50">
        <f>6444788.92+0.08+12328</f>
        <v>6457117</v>
      </c>
      <c r="L47" s="50">
        <f t="shared" si="21"/>
        <v>1</v>
      </c>
      <c r="M47" s="50">
        <f t="shared" si="22"/>
        <v>0</v>
      </c>
    </row>
    <row r="48" spans="1:13" ht="87.75" customHeight="1" x14ac:dyDescent="0.25">
      <c r="B48" s="55" t="s">
        <v>63</v>
      </c>
      <c r="C48" s="79">
        <v>5023418</v>
      </c>
      <c r="D48" s="79">
        <v>1674472</v>
      </c>
      <c r="E48" s="49">
        <f t="shared" si="1"/>
        <v>6697890</v>
      </c>
      <c r="F48" s="50">
        <v>0</v>
      </c>
      <c r="G48" s="50">
        <v>0</v>
      </c>
      <c r="H48" s="50">
        <v>0</v>
      </c>
      <c r="I48" s="50">
        <v>0</v>
      </c>
      <c r="J48" s="50">
        <v>5023418</v>
      </c>
      <c r="K48" s="50">
        <v>1674472</v>
      </c>
      <c r="L48" s="50">
        <f t="shared" si="21"/>
        <v>0</v>
      </c>
      <c r="M48" s="50">
        <f t="shared" si="22"/>
        <v>0</v>
      </c>
    </row>
    <row r="49" spans="1:13" s="51" customFormat="1" ht="99.95" customHeight="1" x14ac:dyDescent="0.25">
      <c r="A49" s="38"/>
      <c r="B49" s="54" t="s">
        <v>64</v>
      </c>
      <c r="C49" s="80">
        <f>C50</f>
        <v>3214890</v>
      </c>
      <c r="D49" s="80">
        <f t="shared" ref="D49:M49" si="23">D50</f>
        <v>762072</v>
      </c>
      <c r="E49" s="46">
        <f t="shared" si="23"/>
        <v>3976962</v>
      </c>
      <c r="F49" s="46">
        <f t="shared" si="23"/>
        <v>0</v>
      </c>
      <c r="G49" s="46">
        <f t="shared" si="23"/>
        <v>0</v>
      </c>
      <c r="H49" s="46">
        <f t="shared" si="23"/>
        <v>0</v>
      </c>
      <c r="I49" s="46">
        <f t="shared" si="23"/>
        <v>0</v>
      </c>
      <c r="J49" s="46">
        <f t="shared" si="23"/>
        <v>3214890</v>
      </c>
      <c r="K49" s="46">
        <f t="shared" si="23"/>
        <v>762072</v>
      </c>
      <c r="L49" s="46">
        <f t="shared" si="23"/>
        <v>0</v>
      </c>
      <c r="M49" s="46">
        <f t="shared" si="23"/>
        <v>0</v>
      </c>
    </row>
    <row r="50" spans="1:13" ht="99.95" customHeight="1" x14ac:dyDescent="0.25">
      <c r="B50" s="55" t="s">
        <v>65</v>
      </c>
      <c r="C50" s="79">
        <v>3214890</v>
      </c>
      <c r="D50" s="79">
        <f>762071.63+0.37</f>
        <v>762072</v>
      </c>
      <c r="E50" s="49">
        <f t="shared" si="1"/>
        <v>3976962</v>
      </c>
      <c r="F50" s="50">
        <v>0</v>
      </c>
      <c r="G50" s="50">
        <v>0</v>
      </c>
      <c r="H50" s="50">
        <v>0</v>
      </c>
      <c r="I50" s="50">
        <v>0</v>
      </c>
      <c r="J50" s="50">
        <v>3214890</v>
      </c>
      <c r="K50" s="50">
        <f>762071.63+0.37</f>
        <v>762072</v>
      </c>
      <c r="L50" s="50">
        <f>C50-F50-H50-J50</f>
        <v>0</v>
      </c>
      <c r="M50" s="50">
        <f>D50-G50-I50-K50</f>
        <v>0</v>
      </c>
    </row>
    <row r="51" spans="1:13" s="59" customFormat="1" ht="99.95" customHeight="1" thickBot="1" x14ac:dyDescent="0.3">
      <c r="A51" s="56"/>
      <c r="B51" s="57" t="s">
        <v>66</v>
      </c>
      <c r="C51" s="81">
        <f>C9+C25+C29+C36+C41+C45+C49</f>
        <v>238648485</v>
      </c>
      <c r="D51" s="81">
        <f t="shared" ref="D51:M51" si="24">D9+D25+D29+D36+D41+D45+D49</f>
        <v>79000000</v>
      </c>
      <c r="E51" s="58">
        <f t="shared" si="24"/>
        <v>317648485</v>
      </c>
      <c r="F51" s="58">
        <f t="shared" si="24"/>
        <v>264440</v>
      </c>
      <c r="G51" s="58">
        <f t="shared" si="24"/>
        <v>310059.87</v>
      </c>
      <c r="H51" s="58">
        <f t="shared" si="24"/>
        <v>0</v>
      </c>
      <c r="I51" s="58">
        <f t="shared" si="24"/>
        <v>0</v>
      </c>
      <c r="J51" s="58">
        <f t="shared" si="24"/>
        <v>238022511</v>
      </c>
      <c r="K51" s="58">
        <f t="shared" si="24"/>
        <v>78314708.060000002</v>
      </c>
      <c r="L51" s="58">
        <f>L9+L25+L29+L36+L41+L45+L49</f>
        <v>361534</v>
      </c>
      <c r="M51" s="58">
        <f t="shared" si="24"/>
        <v>375232.07000000239</v>
      </c>
    </row>
    <row r="52" spans="1:13" s="62" customFormat="1" ht="49.5" customHeight="1" x14ac:dyDescent="0.25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</row>
    <row r="53" spans="1:13" ht="99" customHeight="1" x14ac:dyDescent="0.25">
      <c r="B53" s="63"/>
      <c r="C53" s="63"/>
      <c r="D53" s="63"/>
      <c r="E53" s="73" t="s">
        <v>8</v>
      </c>
      <c r="F53" s="101" t="s">
        <v>9</v>
      </c>
      <c r="G53" s="101"/>
      <c r="H53" s="101" t="s">
        <v>10</v>
      </c>
      <c r="I53" s="101"/>
      <c r="J53" s="101" t="s">
        <v>11</v>
      </c>
      <c r="K53" s="101"/>
      <c r="L53" s="101" t="s">
        <v>12</v>
      </c>
      <c r="M53" s="101"/>
    </row>
    <row r="54" spans="1:13" ht="84" customHeight="1" thickBot="1" x14ac:dyDescent="0.3">
      <c r="B54" s="63"/>
      <c r="C54" s="63"/>
      <c r="D54" s="63"/>
      <c r="E54" s="64" t="s">
        <v>13</v>
      </c>
      <c r="F54" s="64" t="s">
        <v>6</v>
      </c>
      <c r="G54" s="64" t="s">
        <v>7</v>
      </c>
      <c r="H54" s="64" t="s">
        <v>6</v>
      </c>
      <c r="I54" s="64" t="s">
        <v>7</v>
      </c>
      <c r="J54" s="64" t="s">
        <v>6</v>
      </c>
      <c r="K54" s="64" t="s">
        <v>7</v>
      </c>
      <c r="L54" s="64" t="s">
        <v>6</v>
      </c>
      <c r="M54" s="64" t="s">
        <v>7</v>
      </c>
    </row>
    <row r="55" spans="1:13" ht="84.75" customHeight="1" x14ac:dyDescent="0.25">
      <c r="B55" s="65" t="s">
        <v>67</v>
      </c>
      <c r="C55" s="76">
        <f>50002398-31690.13</f>
        <v>49970707.869999997</v>
      </c>
      <c r="D55" s="76">
        <f>40820290-451123.84+242</f>
        <v>40369408.159999996</v>
      </c>
      <c r="E55" s="76">
        <f>C55+D55</f>
        <v>90340116.030000001</v>
      </c>
      <c r="F55" s="76">
        <f>24600+24600+489300-24600-24600-489300</f>
        <v>0</v>
      </c>
      <c r="G55" s="76">
        <f>29206.66-29206.66</f>
        <v>0</v>
      </c>
      <c r="H55" s="66">
        <v>0</v>
      </c>
      <c r="I55" s="66">
        <v>0</v>
      </c>
      <c r="J55" s="66">
        <f>48380458+26802+438246+279970+24600+24600+464268</f>
        <v>49638944</v>
      </c>
      <c r="K55" s="66">
        <f>39666984+12328+89803+125544+54238.66</f>
        <v>39948897.659999996</v>
      </c>
      <c r="L55" s="66">
        <f>C55-F55-H55-J55</f>
        <v>331763.86999999732</v>
      </c>
      <c r="M55" s="66">
        <f t="shared" ref="M55:M57" si="25">D55-G55-I55-K55</f>
        <v>420510.5</v>
      </c>
    </row>
    <row r="56" spans="1:13" ht="93.75" customHeight="1" x14ac:dyDescent="0.25">
      <c r="B56" s="67" t="s">
        <v>68</v>
      </c>
      <c r="C56" s="77">
        <f>151377750+31690.13</f>
        <v>151409440.13</v>
      </c>
      <c r="D56" s="77">
        <f>20375843+451123.84</f>
        <v>20826966.84</v>
      </c>
      <c r="E56" s="77">
        <f>C56+D56</f>
        <v>172236406.97</v>
      </c>
      <c r="F56" s="77">
        <v>264440</v>
      </c>
      <c r="G56" s="77">
        <v>310059.87</v>
      </c>
      <c r="H56" s="68">
        <v>0</v>
      </c>
      <c r="I56" s="68">
        <v>0</v>
      </c>
      <c r="J56" s="68">
        <f>151101825+13405</f>
        <v>151115230</v>
      </c>
      <c r="K56" s="68">
        <f>20276094+189552-89803+186342.4</f>
        <v>20562185.399999999</v>
      </c>
      <c r="L56" s="68">
        <f t="shared" ref="L56:L57" si="26">C56-F56-H56-J56</f>
        <v>29770.129999995232</v>
      </c>
      <c r="M56" s="68">
        <f t="shared" si="25"/>
        <v>-45278.429999999702</v>
      </c>
    </row>
    <row r="57" spans="1:13" ht="102" customHeight="1" x14ac:dyDescent="0.25">
      <c r="B57" s="67" t="s">
        <v>69</v>
      </c>
      <c r="C57" s="77">
        <v>37268337</v>
      </c>
      <c r="D57" s="78">
        <f>17803867-242</f>
        <v>17803625</v>
      </c>
      <c r="E57" s="78">
        <f>C57+D57</f>
        <v>55071962</v>
      </c>
      <c r="F57" s="78">
        <v>0</v>
      </c>
      <c r="G57" s="78">
        <v>0</v>
      </c>
      <c r="H57" s="68">
        <v>0</v>
      </c>
      <c r="I57" s="68">
        <v>0</v>
      </c>
      <c r="J57" s="68">
        <v>37268337</v>
      </c>
      <c r="K57" s="68">
        <v>17803625</v>
      </c>
      <c r="L57" s="68">
        <f t="shared" si="26"/>
        <v>0</v>
      </c>
      <c r="M57" s="68">
        <f t="shared" si="25"/>
        <v>0</v>
      </c>
    </row>
    <row r="58" spans="1:13" ht="72.75" customHeight="1" thickBot="1" x14ac:dyDescent="0.3">
      <c r="B58" s="69" t="s">
        <v>70</v>
      </c>
      <c r="C58" s="70">
        <f>SUM(C55:C57)</f>
        <v>238648485</v>
      </c>
      <c r="D58" s="70">
        <f t="shared" ref="D58:M58" si="27">SUM(D55:D57)</f>
        <v>79000000</v>
      </c>
      <c r="E58" s="70">
        <f t="shared" si="27"/>
        <v>317648485</v>
      </c>
      <c r="F58" s="70">
        <f t="shared" si="27"/>
        <v>264440</v>
      </c>
      <c r="G58" s="70">
        <f t="shared" si="27"/>
        <v>310059.87</v>
      </c>
      <c r="H58" s="70">
        <f t="shared" si="27"/>
        <v>0</v>
      </c>
      <c r="I58" s="70">
        <f t="shared" si="27"/>
        <v>0</v>
      </c>
      <c r="J58" s="70">
        <f t="shared" si="27"/>
        <v>238022511</v>
      </c>
      <c r="K58" s="70">
        <f t="shared" si="27"/>
        <v>78314708.060000002</v>
      </c>
      <c r="L58" s="70">
        <f t="shared" si="27"/>
        <v>361533.99999999255</v>
      </c>
      <c r="M58" s="70">
        <f t="shared" si="27"/>
        <v>375232.0700000003</v>
      </c>
    </row>
    <row r="59" spans="1:13" x14ac:dyDescent="0.25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</row>
    <row r="60" spans="1:13" x14ac:dyDescent="0.25">
      <c r="E60" s="72"/>
      <c r="F60" s="72"/>
      <c r="G60" s="72"/>
      <c r="H60" s="72"/>
    </row>
    <row r="61" spans="1:13" x14ac:dyDescent="0.25">
      <c r="C61" s="71">
        <f t="shared" ref="C61:D61" si="28">C51-C58</f>
        <v>0</v>
      </c>
      <c r="D61" s="71">
        <f t="shared" si="28"/>
        <v>0</v>
      </c>
      <c r="E61" s="71">
        <f>E51-E58</f>
        <v>0</v>
      </c>
      <c r="F61" s="71">
        <f t="shared" ref="F61:M61" si="29">F51-F58</f>
        <v>0</v>
      </c>
      <c r="G61" s="71">
        <f t="shared" si="29"/>
        <v>0</v>
      </c>
      <c r="H61" s="71">
        <f t="shared" si="29"/>
        <v>0</v>
      </c>
      <c r="I61" s="71">
        <f t="shared" si="29"/>
        <v>0</v>
      </c>
      <c r="J61" s="71">
        <f t="shared" si="29"/>
        <v>0</v>
      </c>
      <c r="K61" s="71">
        <f t="shared" si="29"/>
        <v>0</v>
      </c>
      <c r="L61" s="71">
        <f t="shared" si="29"/>
        <v>7.4505805969238281E-9</v>
      </c>
      <c r="M61" s="71">
        <f t="shared" si="29"/>
        <v>2.0954757928848267E-9</v>
      </c>
    </row>
    <row r="63" spans="1:13" x14ac:dyDescent="0.25">
      <c r="J63" s="82"/>
      <c r="K63" s="82"/>
    </row>
    <row r="65" spans="11:11" x14ac:dyDescent="0.25">
      <c r="K65" s="83"/>
    </row>
    <row r="66" spans="11:11" x14ac:dyDescent="0.25">
      <c r="K66" s="83"/>
    </row>
  </sheetData>
  <mergeCells count="15">
    <mergeCell ref="F53:G53"/>
    <mergeCell ref="H53:I53"/>
    <mergeCell ref="J53:K53"/>
    <mergeCell ref="L53:M53"/>
    <mergeCell ref="F7:G7"/>
    <mergeCell ref="H7:I7"/>
    <mergeCell ref="J7:K7"/>
    <mergeCell ref="L7:M7"/>
    <mergeCell ref="B1:M1"/>
    <mergeCell ref="B2:M2"/>
    <mergeCell ref="B6:B7"/>
    <mergeCell ref="C6:D6"/>
    <mergeCell ref="E6:M6"/>
    <mergeCell ref="B3:M3"/>
    <mergeCell ref="B4:M4"/>
  </mergeCells>
  <printOptions horizontalCentered="1" verticalCentered="1"/>
  <pageMargins left="0.15748031496062992" right="0" top="0.19685039370078741" bottom="0.19685039370078741" header="0.23622047244094491" footer="0.23622047244094491"/>
  <pageSetup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Saldo Cero 2011 MARZO 2018</vt:lpstr>
      <vt:lpstr>Saldo Cero 2010 MARZO 2018</vt:lpstr>
      <vt:lpstr>'Saldo Cero 2010 MARZO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Yera Ninive</cp:lastModifiedBy>
  <cp:lastPrinted>2015-08-31T21:23:24Z</cp:lastPrinted>
  <dcterms:created xsi:type="dcterms:W3CDTF">2011-12-09T22:06:02Z</dcterms:created>
  <dcterms:modified xsi:type="dcterms:W3CDTF">2018-04-10T22:13:26Z</dcterms:modified>
</cp:coreProperties>
</file>